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925" tabRatio="601" activeTab="0"/>
  </bookViews>
  <sheets>
    <sheet name="проект 2008-2010 " sheetId="1" r:id="rId1"/>
  </sheets>
  <definedNames>
    <definedName name="_xlnm.Print_Titles" localSheetId="0">'проект 2008-2010 '!$A:$E,'проект 2008-2010 '!$16:$19</definedName>
    <definedName name="_xlnm.Print_Area" localSheetId="0">'проект 2008-2010 '!$A$1:$U$420</definedName>
  </definedNames>
  <calcPr fullCalcOnLoad="1"/>
</workbook>
</file>

<file path=xl/sharedStrings.xml><?xml version="1.0" encoding="utf-8"?>
<sst xmlns="http://schemas.openxmlformats.org/spreadsheetml/2006/main" count="1512" uniqueCount="328">
  <si>
    <t xml:space="preserve">Скорая медицинская помощь </t>
  </si>
  <si>
    <t>Санаторно-оздоровительная помощь</t>
  </si>
  <si>
    <t>Другие вопросы в области здравоохранения, физической культуры  и спорта</t>
  </si>
  <si>
    <t>10</t>
  </si>
  <si>
    <t>Физическая культура и спорт</t>
  </si>
  <si>
    <t xml:space="preserve">102 00 00 </t>
  </si>
  <si>
    <t xml:space="preserve">512 00 00 </t>
  </si>
  <si>
    <t>507 00 00</t>
  </si>
  <si>
    <t>Социальная помощь</t>
  </si>
  <si>
    <t xml:space="preserve">505 00 00 </t>
  </si>
  <si>
    <t>Социальные выплаты</t>
  </si>
  <si>
    <t>Наименование направления расходов, раздела, подраздела, целевой статьи, вида расходов функциональной классификации</t>
  </si>
  <si>
    <t>ЦСР</t>
  </si>
  <si>
    <t>ВР</t>
  </si>
  <si>
    <t>ОБЩЕГОСУДАРСТВЕННЫЕ ВОПРОСЫ</t>
  </si>
  <si>
    <t>01 00</t>
  </si>
  <si>
    <t>010</t>
  </si>
  <si>
    <t>005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</si>
  <si>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</si>
  <si>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</si>
  <si>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</si>
  <si>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</si>
  <si>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</si>
  <si>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Резервные фонды</t>
  </si>
  <si>
    <t>070 00 00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</si>
  <si>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</si>
  <si>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</si>
  <si>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</si>
  <si>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НАЦИОНАЛЬНАЯ БЕЗОПАСНОСТЬ И ПРАВООХРАНИТЕЛЬНАЯ ДЕЯТЕЛЬНОСТЬ</t>
  </si>
  <si>
    <t>03 00</t>
  </si>
  <si>
    <t>Органы внутренних дел</t>
  </si>
  <si>
    <t>Воинские формирования (органы, подразделения)</t>
  </si>
  <si>
    <t>202 00 00</t>
  </si>
  <si>
    <t>Поисковые и аварийно-спасательные учреждения</t>
  </si>
  <si>
    <t>302 00 00</t>
  </si>
  <si>
    <t>НАЦИОНАЛЬНАЯ ЭКОНОМИКА</t>
  </si>
  <si>
    <t>04 00</t>
  </si>
  <si>
    <t>Водные ресурсы</t>
  </si>
  <si>
    <t>102 00 00</t>
  </si>
  <si>
    <t>Лесное хозяйство</t>
  </si>
  <si>
    <t>Транспорт</t>
  </si>
  <si>
    <t>Другие виды транспорта</t>
  </si>
  <si>
    <t>Другие вопросы в области национальной экономики</t>
  </si>
  <si>
    <t>Мероприятия 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</si>
  <si>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</si>
  <si>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</si>
  <si>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</si>
  <si>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Малый бизнес и предпринимательство</t>
  </si>
  <si>
    <t>345 00 00</t>
  </si>
  <si>
    <t>ЖИЛИЩНО-КОММУНАЛЬНОЕ ХОЗЯЙСТВО</t>
  </si>
  <si>
    <t>05 00</t>
  </si>
  <si>
    <t>Жилищное хозяйство</t>
  </si>
  <si>
    <t>350 00 00</t>
  </si>
  <si>
    <t>Коммунальное хозяйство</t>
  </si>
  <si>
    <t>Поддержка коммунального хозяйства</t>
  </si>
  <si>
    <t>Другие вопросы в области жилищно-коммунального хозяйства</t>
  </si>
  <si>
    <t>ОХРАНА ОКРУЖАЮЩЕЙ СРЕДЫ</t>
  </si>
  <si>
    <t>06 00</t>
  </si>
  <si>
    <t>ОБРАЗОВАНИЕ</t>
  </si>
  <si>
    <t>07 00</t>
  </si>
  <si>
    <t>Дошкольное образование</t>
  </si>
  <si>
    <t>Детские дошкольные учреждения</t>
  </si>
  <si>
    <t>420 00 00</t>
  </si>
  <si>
    <t>Общее образование</t>
  </si>
  <si>
    <t>421 00 00</t>
  </si>
  <si>
    <t>Учреждения по внешкольной работе с детьми</t>
  </si>
  <si>
    <t>423 00 00</t>
  </si>
  <si>
    <t>Учебные заведения и курсы по переподготовке кадров</t>
  </si>
  <si>
    <t>429 00 00</t>
  </si>
  <si>
    <t>Высшие учебные заведения</t>
  </si>
  <si>
    <t>430 00 00</t>
  </si>
  <si>
    <t>Молодежная политика и оздоровление детей</t>
  </si>
  <si>
    <t>Организационно-воспитательная работа с молодёжью</t>
  </si>
  <si>
    <t>431 00 00</t>
  </si>
  <si>
    <t xml:space="preserve">Мероприятия по проведению  оздоровительной кампании детей </t>
  </si>
  <si>
    <t>432 00 00</t>
  </si>
  <si>
    <t>Другие вопросы в области образования</t>
  </si>
  <si>
    <t>Учреждения, обеспечивающие предоставление услуг в сфере образования</t>
  </si>
  <si>
    <t>435 00 00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</si>
  <si>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</si>
  <si>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</si>
  <si>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08 00</t>
  </si>
  <si>
    <t xml:space="preserve">Культура </t>
  </si>
  <si>
    <t>Дворцы и дома культуры, другие учреждения культуры и средств массовой информации</t>
  </si>
  <si>
    <t>440 00 00</t>
  </si>
  <si>
    <t>Музеи и постоянные выставки</t>
  </si>
  <si>
    <t>441 00 00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</si>
  <si>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</si>
  <si>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</si>
  <si>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</si>
  <si>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</si>
  <si>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</si>
  <si>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</si>
  <si>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Телевидение и радиовещание</t>
  </si>
  <si>
    <t>453 00 00</t>
  </si>
  <si>
    <t>09 00</t>
  </si>
  <si>
    <t>Учреждения, обеспечивающие предоставление услуг в сфере здравоохранения</t>
  </si>
  <si>
    <t>469 00 00</t>
  </si>
  <si>
    <t>470 00 00</t>
  </si>
  <si>
    <t>Поликлиники, амбулатории, диагностические центры</t>
  </si>
  <si>
    <t>471 00 00</t>
  </si>
  <si>
    <t>Санатории для детей и подростков</t>
  </si>
  <si>
    <t>474 00 00</t>
  </si>
  <si>
    <t>Станции скорой и неотложной помощи</t>
  </si>
  <si>
    <t>477 00 00</t>
  </si>
  <si>
    <t>Дома ребенка</t>
  </si>
  <si>
    <t>486 00 00</t>
  </si>
  <si>
    <t>Центры спортивной подготовки (сборные команды)</t>
  </si>
  <si>
    <t>482 00 00</t>
  </si>
  <si>
    <t>Физкультурно-оздоровительная работа и спортивные мероприятия</t>
  </si>
  <si>
    <t>512 00 00</t>
  </si>
  <si>
    <t>СОЦИАЛЬНАЯ ПОЛИТИКА</t>
  </si>
  <si>
    <t>10 00</t>
  </si>
  <si>
    <t>Социальное обслуживание населения</t>
  </si>
  <si>
    <t>Учреждения социального обслуживания населения</t>
  </si>
  <si>
    <t>Социальное обеспечение населения</t>
  </si>
  <si>
    <t>505 00 00</t>
  </si>
  <si>
    <t>Другие вопросы в области социальной политики</t>
  </si>
  <si>
    <t>ВСЕГО РАСХОДОВ</t>
  </si>
  <si>
    <t>600 00 00</t>
  </si>
  <si>
    <t>410 00 00</t>
  </si>
  <si>
    <t>Целевые программы муниципальных образований</t>
  </si>
  <si>
    <t>795 00 00</t>
  </si>
  <si>
    <t xml:space="preserve">795 00 00 </t>
  </si>
  <si>
    <t>002 00 00</t>
  </si>
  <si>
    <t>Рз</t>
  </si>
  <si>
    <t xml:space="preserve"> ПР</t>
  </si>
  <si>
    <t>01</t>
  </si>
  <si>
    <t>02</t>
  </si>
  <si>
    <t>Обеспечение выполнения функций бюджетных учреждений</t>
  </si>
  <si>
    <t>001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</si>
  <si>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</si>
  <si>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</si>
  <si>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</si>
  <si>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</si>
  <si>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</si>
  <si>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</si>
  <si>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</si>
  <si>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</si>
  <si>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11</t>
  </si>
  <si>
    <t>Обслуживание муниципального долга</t>
  </si>
  <si>
    <t>12</t>
  </si>
  <si>
    <t>14</t>
  </si>
  <si>
    <t>006</t>
  </si>
  <si>
    <t>Исполнение судебных актов по искам к субъекту Российской Федерации или муниципальному образованию о возмещении вреда, причиненного гражданину или юридическому лицу в результате незаконных действий, бездействий</t>
  </si>
  <si>
    <t>011</t>
  </si>
  <si>
    <t>09</t>
  </si>
  <si>
    <t>Вопросы в области лесных отношений</t>
  </si>
  <si>
    <t>292 00 00</t>
  </si>
  <si>
    <t>06</t>
  </si>
  <si>
    <t>Бюджетные инвестиции в объекты капитального строительства, не включенные в целевые программы</t>
  </si>
  <si>
    <t>004</t>
  </si>
  <si>
    <t>Дорожное хозяйство</t>
  </si>
  <si>
    <t>08</t>
  </si>
  <si>
    <t>Водный транспорт</t>
  </si>
  <si>
    <t>301 00 00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</si>
  <si>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</si>
  <si>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 xml:space="preserve">317 00 00 </t>
  </si>
  <si>
    <t>05</t>
  </si>
  <si>
    <t xml:space="preserve">351 00 00 </t>
  </si>
  <si>
    <t xml:space="preserve">Благоустройство </t>
  </si>
  <si>
    <t xml:space="preserve">002 00 00 </t>
  </si>
  <si>
    <t>Другие вопросы в области охраны окружающей среды</t>
  </si>
  <si>
    <t>Состояние окружающей среды и природопользования</t>
  </si>
  <si>
    <t>Предоставление бюджетных инвестиций юридическим лицам, не являющихся муниципальными учреждениями</t>
  </si>
  <si>
    <t>003</t>
  </si>
  <si>
    <t>Профессиональная подготовка, переподготовка и повышение квалификации</t>
  </si>
  <si>
    <t>436 00 00</t>
  </si>
  <si>
    <t>Высшее  и послевузовское профессиональное образование</t>
  </si>
  <si>
    <t>Телерадиокомпании и телеорганизации</t>
  </si>
  <si>
    <t xml:space="preserve">Стационарная медицинская помощь </t>
  </si>
  <si>
    <t>Амбулаторная помощь</t>
  </si>
  <si>
    <t>Пенсионное обеспечение</t>
  </si>
  <si>
    <t>Доплаты к пенсиям, дополнительное пенсионное обеспечение</t>
  </si>
  <si>
    <t>КУЛЬТУРА,  КИНЕМАТОГРАФИЯ, СРЕДСТВА МАССОВОЙ ИНФОРМАЦИИ</t>
  </si>
  <si>
    <t>ЗДРАВООХРАНЕНИЕ, 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</si>
  <si>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</si>
  <si>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Поддержка жилищного хозяйства</t>
  </si>
  <si>
    <t>Другие вопросы в области культуры, кинематографии, средств массовой информации</t>
  </si>
  <si>
    <t>Субсидия на возмещение затрат на оказание культурно-значимых услуг в области театрального искусства</t>
  </si>
  <si>
    <t>436 00 01</t>
  </si>
  <si>
    <t>436 00 02</t>
  </si>
  <si>
    <t>450 00 01</t>
  </si>
  <si>
    <t>450 00 02</t>
  </si>
  <si>
    <t>450 00 03</t>
  </si>
  <si>
    <t>795 00 01</t>
  </si>
  <si>
    <t>795 00 02</t>
  </si>
  <si>
    <t>350 00 01</t>
  </si>
  <si>
    <t>350 00 02</t>
  </si>
  <si>
    <t>350 00 03</t>
  </si>
  <si>
    <t>Субсидии на возмещение затрат за услуги по переработке твердых бытовых отходов</t>
  </si>
  <si>
    <t xml:space="preserve">351 00 01 </t>
  </si>
  <si>
    <t xml:space="preserve">351 00 03 </t>
  </si>
  <si>
    <t>301 00 01</t>
  </si>
  <si>
    <t xml:space="preserve">317 00 01 </t>
  </si>
  <si>
    <t xml:space="preserve">317 00 02 </t>
  </si>
  <si>
    <t xml:space="preserve">317 00 03 </t>
  </si>
  <si>
    <t>490 00 00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</si>
  <si>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речным транспортом</t>
  </si>
  <si>
    <t>Субсидии на возмещение недополученных доходов в связи с предоставлением мер социальной поддержки при перевозке отдельных категорий граждан на городских маршрутах</t>
  </si>
  <si>
    <t>Субсидии на возмещение затрат от перевозки пассажиров на нерентабельных рейсах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</si>
  <si>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автомобильным транспортом</t>
  </si>
  <si>
    <t>изменения</t>
  </si>
  <si>
    <t>600 00 01</t>
  </si>
  <si>
    <t>600 00 02</t>
  </si>
  <si>
    <t>600 00 03</t>
  </si>
  <si>
    <t>600 00 04</t>
  </si>
  <si>
    <t>081 00 00</t>
  </si>
  <si>
    <t>Прикладные научные исследования в области национальной экономики</t>
  </si>
  <si>
    <t>Прикладные научные исследования и разработки</t>
  </si>
  <si>
    <t>522 00 00</t>
  </si>
  <si>
    <t>Региональные целевые программы</t>
  </si>
  <si>
    <t>Субсидии на возмещение недополученных доходов, связанных с содержанием муниципальных общежитий и домов, утративших статус общежитий, но не переоборудованных под многоквартирные дома</t>
  </si>
  <si>
    <t>Субсидии на возмещение затрат по капитальному ремонту жилищного фонда в доле муниципальной собственности в многоквартирных домах</t>
  </si>
  <si>
    <t>Субсидии на возмещение затрат по содержанию пляжей</t>
  </si>
  <si>
    <t>Субсидии на возмещение затрат по техническому сопровождению работ по благоустройству территории городского округа</t>
  </si>
  <si>
    <t>600 00 05</t>
  </si>
  <si>
    <t>Субсидии на возмещение затрат по содержанию мест захоронения</t>
  </si>
  <si>
    <t>Реализация государственных функций в области социальной политики</t>
  </si>
  <si>
    <t>514 00 00</t>
  </si>
  <si>
    <t>514 00 01</t>
  </si>
  <si>
    <t>Субсидия на возмещение затрат на ресурсное обеспечение информатизации муниципального образования и новаторства в педагогической деятельности</t>
  </si>
  <si>
    <t>Субсидия на возмещение затрат по осуществлению творческой деятельности молодежи в области музыкального исполнительского  искусства и популяризации имиджевых культурных проектов</t>
  </si>
  <si>
    <t>Субсидия на возмещение затрат на обеспечение детского юношеского творчества и продвижение хорового искусства</t>
  </si>
  <si>
    <t>Субсидии муниципальным предприятиям, имеющим в хозяйственном ведении муниципальные общественные туалеты, на возмещение затрат по их содержанию</t>
  </si>
  <si>
    <t xml:space="preserve">В том числе средства вышестоящих бюджетов </t>
  </si>
  <si>
    <t xml:space="preserve">Сумма, тыс.руб. 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</si>
  <si>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</si>
  <si>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</si>
  <si>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</si>
  <si>
    <t>013</t>
  </si>
  <si>
    <t>Выполнение функций органами местного самоуправления</t>
  </si>
  <si>
    <t>500</t>
  </si>
  <si>
    <t>Мероприятия в области гражданской промышленности</t>
  </si>
  <si>
    <t>340 04 00</t>
  </si>
  <si>
    <t>2010      всего</t>
  </si>
  <si>
    <t>431 00 01</t>
  </si>
  <si>
    <t>Субсидии муниципальным автономным учреждениям на возмещение нормативных затрат по развитию молодежного театрального творчества</t>
  </si>
  <si>
    <t>Предоставление субсидий 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</si>
  <si>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Субсидии на возмещение затрат по утилизации твердых бытовых отходов</t>
  </si>
  <si>
    <t>600 00 06</t>
  </si>
  <si>
    <t>018</t>
  </si>
  <si>
    <t xml:space="preserve">Субсидии на возмещение затрат по обеспечению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</si>
  <si>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</si>
  <si>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>Субсидии на возмещение затрат по обеспечению мероприятий по капитальному ремонту многоквартирных домов</t>
  </si>
  <si>
    <t>098 02 01</t>
  </si>
  <si>
    <t xml:space="preserve">к решению Думы </t>
  </si>
  <si>
    <t>Мероприятия в области образования</t>
  </si>
  <si>
    <t>795 00 03</t>
  </si>
  <si>
    <t>795 00 04</t>
  </si>
  <si>
    <t>Распределение бюджетных ассигнований по разделам, подразделам, целевым статьям и видам расходов классификации расходов бюджета городского округа Тольятти на плановый период 2011 и 2012 годов</t>
  </si>
  <si>
    <t xml:space="preserve">Сумма (тыс.руб.) </t>
  </si>
  <si>
    <t xml:space="preserve">Председатель Думы </t>
  </si>
  <si>
    <t xml:space="preserve">городского округа </t>
  </si>
  <si>
    <t>Изменения</t>
  </si>
  <si>
    <t>Функционирование высшего должностного лица субъекта Российской Федерации и муниципального образования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</si>
  <si>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</si>
  <si>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</si>
  <si>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</si>
  <si>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Школы-детские сады, школы начальные, неполные средние и средние</t>
  </si>
  <si>
    <t>Субсидии юридическим лицам на возмещение затрат за оказание инновационных общественно значимых социальных услуг</t>
  </si>
  <si>
    <t>092 00 01</t>
  </si>
  <si>
    <t>508 00 00</t>
  </si>
  <si>
    <t>Субсидии юридическим лицам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</si>
  <si>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 xml:space="preserve">Предоставление субсидии некоммерческим организациям, не являющимся автономными и бюджетными учреждениями, на организационные расходы в рамках уставной деятельности  </t>
  </si>
  <si>
    <t>491 00 00</t>
  </si>
  <si>
    <t>Субсидии муниципальным автономным учреждениям на возмещение нормативных затрат по мероприятиям в области застройки территорий, мониторингу процессов градостроительства и ведению автоматизированной информационной системы обеспечения градостроительной деятельности</t>
  </si>
  <si>
    <t>338 00 01</t>
  </si>
  <si>
    <t>Субсидии на возмещение затрат по капитальному ремонту общего имущества многоквартирных домов городского округа Тольятти</t>
  </si>
  <si>
    <t>Субсидии юридическим лицам (за исключением субсидий муниципальным учреждениям), индивидуальным предпринимателям на возмещение недополученных доходов, связанных с содержанием муниципальных общежитий и домов, утративших статус общежития, но не переоборудованных под многоквартирные дома</t>
  </si>
  <si>
    <t>Субсидии на возмещение затрат по замене бытового газоиспользующего оборудования в многоквартирных домах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</si>
  <si>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переработке твердых бытовых отходов, на возмещение затрат за услуги по переработке твердых бытовых отходов, образующихся в результате жизнедеятельности населения городского округа Тольятти   </t>
  </si>
  <si>
    <t xml:space="preserve">351 00 04 </t>
  </si>
  <si>
    <t xml:space="preserve">Субсидии на возмещение затрат по капитальному ремонту общего имущества многоквартирных домов городского округа Тольятти по устранению нарушений правил и норм технической эксплуатации внутридомового газового оборудования, выявленных в результате его диагностирования, в многоквартирных домах  </t>
  </si>
  <si>
    <t>Субсидии на частичное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 и организаций коммунального комплекса, возникших в связи с применением предельных индексов максимально возможного изменения установленных тарифов на товары и услуги организаций коммунального комплекса с учетом надбавок к тарифам на товары и услуги организаций коммунального комплекса и предельных индексов изменения размера платы граждан за коммунальные услуги, утвержденных Правительством Самарской области</t>
  </si>
  <si>
    <t xml:space="preserve">351 00 06 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</si>
  <si>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утилизации твердых бытовых отходов и (или) крупногабаритного мусора, на возмещение затрат, связанных с утилизацией твердых бытовых отходов и (или) крупногабаритного мусора, образующихся в результате жизнедеятельности населения городского округа Тольятти   </t>
  </si>
  <si>
    <t xml:space="preserve">351 00 07 </t>
  </si>
  <si>
    <t>Субсидии юридическим лицам (за исключением субсидий муниципальным учреждениям) на возмещение затрат по содержанию мест захоронения</t>
  </si>
  <si>
    <t>Субсидии некоммерческим организациям, не являющимся автономными и бюджетными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</si>
  <si>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Субсидия в целях возмещения затрат на осуществление компенсационных выплат лицам, которым был нанесен ущерб на финансовом и фондовом рынках Российской Федерации на территории городского округа Тольятти</t>
  </si>
  <si>
    <t>795 01 00</t>
  </si>
  <si>
    <t>795 01 03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</si>
  <si>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</si>
  <si>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Мероприятия по созданию условий для улучшения качества жизни жителей городского округа Тольятти и обеспечения социальной стабильности</t>
  </si>
  <si>
    <t xml:space="preserve">Субсидии некоммерческим организациям (за исключением субсидий муниципальным учреждениям) в целях возмещения затрат на обеспечение дошкольного образования </t>
  </si>
  <si>
    <t>795 04 00</t>
  </si>
  <si>
    <t>795 10 00</t>
  </si>
  <si>
    <t>795 10 02</t>
  </si>
  <si>
    <t>795 06 00</t>
  </si>
  <si>
    <t>795 06 02</t>
  </si>
  <si>
    <t>795 06 01</t>
  </si>
  <si>
    <r>
  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«Капитальный ремонт, модернизация и диспетчеризация лифтового хозяйства жилищного фонда в городском округе Тольятти на 2009 год и плановый период 2010-2011 годов</t>
    </r>
    <r>
      <rPr>
        <sz val="13"/>
        <rFont val="Arial"/>
        <family val="2"/>
      </rPr>
      <t>»</t>
    </r>
  </si>
  <si>
    <t>795 09 00</t>
  </si>
  <si>
    <t xml:space="preserve">795 10 00 </t>
  </si>
  <si>
    <t xml:space="preserve">795 10 01 </t>
  </si>
  <si>
    <t>795 12 00</t>
  </si>
  <si>
    <t>795 08 00</t>
  </si>
  <si>
    <t>Предоставление субсидии некоммерческим организациям, не являющимся автономными и бюджетными учреждениями, на организационные расходы в рамках уставной деятельности</t>
  </si>
  <si>
    <t>795 01 01</t>
  </si>
  <si>
    <t>Предоставление  субсидии юридическим лицам (за исключением субсидий государственным и муниципальным учреждениям)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</si>
  <si>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795 01 02</t>
  </si>
  <si>
    <t>795 07 00</t>
  </si>
  <si>
    <t>Ведомственная целевая программа «Капитальный ремонт, модернизация и диспетчеризация лифтового хозяйства жилищного фонда в городском округе Тольятти на 2009 год и плановый период 2010-2011 годов»</t>
  </si>
  <si>
    <t>795 09 01</t>
  </si>
  <si>
    <t>Предоставление субсидий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</si>
  <si>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Субсидии некоммерческим организациям, не являющимся автономными и бюджетными учреждениями, на оказание содействия в осуществлении компенсационных выплат лицам, которым был причинен ущерб на финансовом и фондовом рынках Российской Федерации на территории городского округа Тольятти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</si>
  <si>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Качество образования - качество жизни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на 2009-2011 годы городского округа Тольятти</t>
    </r>
  </si>
  <si>
    <t>А.В.Пахоменко</t>
  </si>
  <si>
    <t xml:space="preserve">Ведомственная целевая программа организации работы с детьми и молодежью в городском округе Тольятти на 2009г. и плановый период 2010-2011гг. </t>
  </si>
  <si>
    <t xml:space="preserve">Мероприятия в рамках реализации ведомственной целевой программы организации работы с детьми и молодежью в городском округе Тольятти на 2009г. и плановый период 2010-2011гг. 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</si>
  <si>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Пожарная безопасность на 2009-2011гг.</t>
    </r>
    <r>
      <rPr>
        <sz val="13"/>
        <rFont val="Arial"/>
        <family val="2"/>
      </rPr>
      <t>»</t>
    </r>
  </si>
  <si>
    <t>Мероприятия в рамках реализации ведомственной целевой программы «Пожарная безопасность на 2009-2011гг.»</t>
  </si>
  <si>
    <r>
  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на 2009-2011гг.</t>
    </r>
    <r>
      <rPr>
        <sz val="13"/>
        <rFont val="Arial"/>
        <family val="2"/>
      </rPr>
      <t>»</t>
    </r>
  </si>
  <si>
    <t>Ведомственная целевая экологическая программа городского округа Тольятти на 2010-2012гг.</t>
  </si>
  <si>
    <t xml:space="preserve">Субсидии МАУ для развития самодеятельного молодежного театрального творчества в рамках реализации ведомственной целевой программы организации работы с детьми и молодежью в городском округе Тольятти на 2009г. и плановый период 2010-2011гг. 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</si>
  <si>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Молодой семье - доступное жилье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на 2002-2015гг.</t>
    </r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</si>
  <si>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Семья и дети городского округа Тольятти на 2009-2011 годы</t>
    </r>
    <r>
      <rPr>
        <sz val="13"/>
        <rFont val="Arial"/>
        <family val="2"/>
      </rPr>
      <t>»</t>
    </r>
  </si>
  <si>
    <t>Приложение №3</t>
  </si>
  <si>
    <t>Приложение №5</t>
  </si>
  <si>
    <t>17.02.2010г. №_____</t>
  </si>
  <si>
    <t>от 09.12.2009г. №180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</si>
  <si>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 производителям товаров, работ, услуг</t>
  </si>
  <si>
    <t>Субсидии муниципальным предприятиям, имеющим в хозяйственном ведении муниципальное имущество, обеспечивающее безопасность людей на водных объектах, охрану их жизни и здоровья, на возмещение затрат по его содержанию</t>
  </si>
  <si>
    <t>Больницы, клиники, госпитали, медико-санитарные части</t>
  </si>
  <si>
    <t>2011г.</t>
  </si>
  <si>
    <t>2012г.</t>
  </si>
  <si>
    <t>Условно утверждённые расходы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</si>
</sst>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#,##0.0_ ;\-#,##0.0\ 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5" fillId="24" borderId="0" xfId="0" applyFont="1" applyFill="1" applyBorder="1" applyAlignment="1">
      <alignment/>
    </xf>
    <xf numFmtId="0" fontId="15" fillId="24" borderId="0" xfId="0" applyFont="1" applyFill="1" applyAlignment="1">
      <alignment/>
    </xf>
    <xf numFmtId="0" fontId="10" fillId="0" borderId="0" xfId="0" applyFont="1" applyFill="1" applyAlignment="1">
      <alignment wrapText="1"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3" fontId="10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3" fontId="12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left" wrapText="1"/>
    </xf>
    <xf numFmtId="3" fontId="13" fillId="0" borderId="10" xfId="0" applyNumberFormat="1" applyFont="1" applyFill="1" applyBorder="1" applyAlignment="1">
      <alignment horizontal="center" wrapText="1"/>
    </xf>
    <xf numFmtId="3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1" fontId="12" fillId="0" borderId="10" xfId="0" applyNumberFormat="1" applyFont="1" applyFill="1" applyBorder="1" applyAlignment="1">
      <alignment horizontal="center" wrapText="1"/>
    </xf>
    <xf numFmtId="3" fontId="12" fillId="0" borderId="10" xfId="61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wrapText="1"/>
    </xf>
    <xf numFmtId="1" fontId="13" fillId="0" borderId="10" xfId="0" applyNumberFormat="1" applyFont="1" applyFill="1" applyBorder="1" applyAlignment="1">
      <alignment horizontal="center" wrapText="1"/>
    </xf>
    <xf numFmtId="3" fontId="13" fillId="0" borderId="10" xfId="61" applyNumberFormat="1" applyFont="1" applyFill="1" applyBorder="1" applyAlignment="1">
      <alignment horizontal="center"/>
    </xf>
    <xf numFmtId="164" fontId="13" fillId="0" borderId="10" xfId="61" applyNumberFormat="1" applyFont="1" applyFill="1" applyBorder="1" applyAlignment="1">
      <alignment horizontal="center"/>
    </xf>
    <xf numFmtId="164" fontId="14" fillId="0" borderId="10" xfId="61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64" fontId="13" fillId="0" borderId="10" xfId="60" applyNumberFormat="1" applyFont="1" applyFill="1" applyBorder="1" applyAlignment="1">
      <alignment horizontal="center"/>
    </xf>
    <xf numFmtId="164" fontId="14" fillId="0" borderId="10" xfId="60" applyNumberFormat="1" applyFont="1" applyFill="1" applyBorder="1" applyAlignment="1">
      <alignment horizontal="center"/>
    </xf>
    <xf numFmtId="3" fontId="14" fillId="0" borderId="10" xfId="60" applyNumberFormat="1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3" fontId="14" fillId="0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wrapText="1"/>
    </xf>
    <xf numFmtId="3" fontId="6" fillId="0" borderId="10" xfId="6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13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22" fillId="0" borderId="10" xfId="0" applyNumberFormat="1" applyFont="1" applyFill="1" applyBorder="1" applyAlignment="1">
      <alignment wrapText="1"/>
    </xf>
    <xf numFmtId="0" fontId="23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1" fontId="22" fillId="0" borderId="10" xfId="0" applyNumberFormat="1" applyFont="1" applyFill="1" applyBorder="1" applyAlignment="1">
      <alignment horizontal="center" wrapText="1"/>
    </xf>
    <xf numFmtId="0" fontId="22" fillId="24" borderId="10" xfId="0" applyFont="1" applyFill="1" applyBorder="1" applyAlignment="1">
      <alignment wrapText="1"/>
    </xf>
    <xf numFmtId="49" fontId="13" fillId="24" borderId="10" xfId="0" applyNumberFormat="1" applyFont="1" applyFill="1" applyBorder="1" applyAlignment="1">
      <alignment horizontal="center" wrapText="1"/>
    </xf>
    <xf numFmtId="1" fontId="22" fillId="24" borderId="10" xfId="0" applyNumberFormat="1" applyFont="1" applyFill="1" applyBorder="1" applyAlignment="1">
      <alignment horizontal="center" wrapText="1"/>
    </xf>
    <xf numFmtId="3" fontId="13" fillId="24" borderId="10" xfId="0" applyNumberFormat="1" applyFont="1" applyFill="1" applyBorder="1" applyAlignment="1">
      <alignment horizontal="center"/>
    </xf>
    <xf numFmtId="0" fontId="15" fillId="24" borderId="10" xfId="0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6" fillId="0" borderId="10" xfId="61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wrapText="1"/>
    </xf>
    <xf numFmtId="164" fontId="6" fillId="0" borderId="10" xfId="61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164" fontId="12" fillId="0" borderId="10" xfId="60" applyNumberFormat="1" applyFont="1" applyFill="1" applyBorder="1" applyAlignment="1">
      <alignment horizontal="center"/>
    </xf>
    <xf numFmtId="3" fontId="13" fillId="0" borderId="10" xfId="60" applyNumberFormat="1" applyFont="1" applyFill="1" applyBorder="1" applyAlignment="1">
      <alignment horizontal="center"/>
    </xf>
    <xf numFmtId="164" fontId="24" fillId="0" borderId="10" xfId="60" applyNumberFormat="1" applyFont="1" applyFill="1" applyBorder="1" applyAlignment="1">
      <alignment horizontal="center"/>
    </xf>
    <xf numFmtId="3" fontId="24" fillId="0" borderId="10" xfId="6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64" fontId="6" fillId="0" borderId="10" xfId="60" applyNumberFormat="1" applyFont="1" applyFill="1" applyBorder="1" applyAlignment="1">
      <alignment horizontal="center"/>
    </xf>
    <xf numFmtId="3" fontId="14" fillId="0" borderId="10" xfId="61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wrapText="1"/>
    </xf>
    <xf numFmtId="3" fontId="12" fillId="0" borderId="10" xfId="6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/>
    </xf>
    <xf numFmtId="0" fontId="44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/>
    </xf>
    <xf numFmtId="0" fontId="44" fillId="0" borderId="0" xfId="0" applyFont="1" applyFill="1" applyAlignment="1">
      <alignment wrapText="1"/>
    </xf>
    <xf numFmtId="49" fontId="44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3" fontId="44" fillId="0" borderId="0" xfId="0" applyNumberFormat="1" applyFont="1" applyFill="1" applyBorder="1" applyAlignment="1">
      <alignment horizontal="right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right"/>
    </xf>
    <xf numFmtId="49" fontId="4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3" fontId="10" fillId="0" borderId="0" xfId="0" applyNumberFormat="1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425"/>
  <sheetViews>
    <sheetView showZeros="0" tabSelected="1" view="pageBreakPreview" zoomScale="75" zoomScaleNormal="75" zoomScaleSheetLayoutView="75" zoomScalePageLayoutView="0" workbookViewId="0" topLeftCell="A1">
      <selection activeCell="A8" sqref="A8:U8"/>
    </sheetView>
  </sheetViews>
  <sheetFormatPr defaultColWidth="9.00390625" defaultRowHeight="12.75"/>
  <cols>
    <col min="1" max="1" width="53.125" style="3" customWidth="1"/>
    <col min="2" max="2" width="9.25390625" style="4" customWidth="1"/>
    <col min="3" max="3" width="9.00390625" style="4" customWidth="1"/>
    <col min="4" max="4" width="12.75390625" style="5" customWidth="1"/>
    <col min="5" max="5" width="8.00390625" style="4" customWidth="1"/>
    <col min="6" max="6" width="16.875" style="6" hidden="1" customWidth="1"/>
    <col min="7" max="7" width="17.75390625" style="1" hidden="1" customWidth="1"/>
    <col min="8" max="8" width="18.125" style="1" hidden="1" customWidth="1"/>
    <col min="9" max="9" width="23.75390625" style="1" hidden="1" customWidth="1"/>
    <col min="10" max="10" width="1.25" style="1" hidden="1" customWidth="1"/>
    <col min="11" max="11" width="14.875" style="1" hidden="1" customWidth="1"/>
    <col min="12" max="12" width="16.625" style="1" hidden="1" customWidth="1"/>
    <col min="13" max="13" width="13.75390625" style="1" hidden="1" customWidth="1"/>
    <col min="14" max="14" width="24.125" style="1" hidden="1" customWidth="1"/>
    <col min="15" max="15" width="21.00390625" style="1" hidden="1" customWidth="1"/>
    <col min="16" max="16" width="4.75390625" style="1" hidden="1" customWidth="1"/>
    <col min="17" max="17" width="20.375" style="1" hidden="1" customWidth="1"/>
    <col min="18" max="18" width="11.125" style="1" hidden="1" customWidth="1"/>
    <col min="19" max="19" width="10.125" style="1" hidden="1" customWidth="1"/>
    <col min="20" max="20" width="14.75390625" style="1" customWidth="1"/>
    <col min="21" max="21" width="14.125" style="1" customWidth="1"/>
    <col min="22" max="63" width="9.125" style="1" customWidth="1"/>
    <col min="64" max="16384" width="9.125" style="2" customWidth="1"/>
  </cols>
  <sheetData>
    <row r="1" ht="8.25" customHeight="1"/>
    <row r="2" spans="1:21" ht="18" customHeight="1">
      <c r="A2" s="172" t="s">
        <v>318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1:21" ht="18" customHeight="1">
      <c r="A3" s="172" t="s">
        <v>246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</row>
    <row r="4" spans="1:21" ht="20.25">
      <c r="A4" s="172" t="s">
        <v>320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</row>
    <row r="5" spans="1:21" ht="20.25">
      <c r="A5" s="37"/>
      <c r="B5" s="38"/>
      <c r="C5" s="38"/>
      <c r="D5" s="39"/>
      <c r="E5" s="38"/>
      <c r="F5" s="40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41"/>
      <c r="U5" s="41"/>
    </row>
    <row r="6" spans="1:21" ht="15.75" customHeight="1">
      <c r="A6" s="175" t="s">
        <v>319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</row>
    <row r="7" spans="1:21" ht="20.25" customHeight="1">
      <c r="A7" s="175" t="s">
        <v>246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</row>
    <row r="8" spans="1:21" ht="18.75" customHeight="1">
      <c r="A8" s="175" t="s">
        <v>321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</row>
    <row r="9" spans="1:21" ht="16.5" customHeight="1">
      <c r="A9" s="37"/>
      <c r="B9" s="38"/>
      <c r="C9" s="38"/>
      <c r="D9" s="39"/>
      <c r="E9" s="38"/>
      <c r="F9" s="40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ht="14.25" customHeight="1"/>
    <row r="11" spans="1:21" ht="14.25" customHeight="1">
      <c r="A11" s="174" t="s">
        <v>250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</row>
    <row r="12" spans="1:21" ht="14.25" customHeight="1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</row>
    <row r="13" spans="1:21" ht="83.25" customHeight="1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</row>
    <row r="15" ht="45.75" customHeight="1" thickBot="1"/>
    <row r="16" spans="1:21" ht="26.25" customHeight="1" thickBot="1">
      <c r="A16" s="145" t="s">
        <v>11</v>
      </c>
      <c r="B16" s="155" t="s">
        <v>125</v>
      </c>
      <c r="C16" s="157" t="s">
        <v>126</v>
      </c>
      <c r="D16" s="143" t="s">
        <v>12</v>
      </c>
      <c r="E16" s="157" t="s">
        <v>13</v>
      </c>
      <c r="F16" s="159">
        <v>2010</v>
      </c>
      <c r="G16" s="161" t="s">
        <v>226</v>
      </c>
      <c r="H16" s="162"/>
      <c r="I16" s="163"/>
      <c r="J16" s="145">
        <v>2011</v>
      </c>
      <c r="K16" s="164" t="s">
        <v>202</v>
      </c>
      <c r="L16" s="165"/>
      <c r="M16" s="152">
        <v>2011</v>
      </c>
      <c r="N16" s="149" t="s">
        <v>251</v>
      </c>
      <c r="O16" s="150"/>
      <c r="P16" s="150"/>
      <c r="Q16" s="151"/>
      <c r="R16" s="149" t="s">
        <v>254</v>
      </c>
      <c r="S16" s="151"/>
      <c r="T16" s="149" t="s">
        <v>251</v>
      </c>
      <c r="U16" s="151"/>
    </row>
    <row r="17" spans="1:21" ht="19.5" customHeight="1">
      <c r="A17" s="146"/>
      <c r="B17" s="156"/>
      <c r="C17" s="158"/>
      <c r="D17" s="144"/>
      <c r="E17" s="158"/>
      <c r="F17" s="160"/>
      <c r="G17" s="145" t="s">
        <v>202</v>
      </c>
      <c r="H17" s="147" t="s">
        <v>235</v>
      </c>
      <c r="I17" s="145" t="s">
        <v>225</v>
      </c>
      <c r="J17" s="146"/>
      <c r="K17" s="166">
        <v>2010</v>
      </c>
      <c r="L17" s="168">
        <v>2011</v>
      </c>
      <c r="M17" s="153"/>
      <c r="N17" s="170" t="s">
        <v>254</v>
      </c>
      <c r="O17" s="145">
        <v>2011</v>
      </c>
      <c r="P17" s="147" t="s">
        <v>225</v>
      </c>
      <c r="Q17" s="152">
        <v>2012</v>
      </c>
      <c r="R17" s="143">
        <v>2011</v>
      </c>
      <c r="S17" s="152">
        <v>2012</v>
      </c>
      <c r="T17" s="147" t="s">
        <v>325</v>
      </c>
      <c r="U17" s="152" t="s">
        <v>326</v>
      </c>
    </row>
    <row r="18" spans="1:21" ht="19.5" customHeight="1">
      <c r="A18" s="146"/>
      <c r="B18" s="156"/>
      <c r="C18" s="158"/>
      <c r="D18" s="144"/>
      <c r="E18" s="158"/>
      <c r="F18" s="160"/>
      <c r="G18" s="146"/>
      <c r="H18" s="148"/>
      <c r="I18" s="146"/>
      <c r="J18" s="146"/>
      <c r="K18" s="167"/>
      <c r="L18" s="169"/>
      <c r="M18" s="153"/>
      <c r="N18" s="171"/>
      <c r="O18" s="146"/>
      <c r="P18" s="148"/>
      <c r="Q18" s="153"/>
      <c r="R18" s="144"/>
      <c r="S18" s="153"/>
      <c r="T18" s="148"/>
      <c r="U18" s="153"/>
    </row>
    <row r="19" spans="1:21" ht="52.5" customHeight="1">
      <c r="A19" s="146"/>
      <c r="B19" s="156"/>
      <c r="C19" s="158"/>
      <c r="D19" s="144"/>
      <c r="E19" s="158"/>
      <c r="F19" s="160"/>
      <c r="G19" s="146"/>
      <c r="H19" s="148"/>
      <c r="I19" s="146"/>
      <c r="J19" s="146"/>
      <c r="K19" s="167"/>
      <c r="L19" s="169"/>
      <c r="M19" s="153"/>
      <c r="N19" s="171"/>
      <c r="O19" s="146"/>
      <c r="P19" s="148"/>
      <c r="Q19" s="153"/>
      <c r="R19" s="144"/>
      <c r="S19" s="153"/>
      <c r="T19" s="148"/>
      <c r="U19" s="153"/>
    </row>
    <row r="20" spans="1:21" ht="16.5" customHeight="1">
      <c r="A20" s="42"/>
      <c r="B20" s="43"/>
      <c r="C20" s="43"/>
      <c r="D20" s="44"/>
      <c r="E20" s="43"/>
      <c r="F20" s="45"/>
      <c r="G20" s="46"/>
      <c r="H20" s="46"/>
      <c r="I20" s="46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</row>
    <row r="21" spans="1:63" s="8" customFormat="1" ht="44.25" customHeight="1">
      <c r="A21" s="48" t="s">
        <v>14</v>
      </c>
      <c r="B21" s="49" t="s">
        <v>15</v>
      </c>
      <c r="C21" s="49"/>
      <c r="D21" s="50"/>
      <c r="E21" s="49"/>
      <c r="F21" s="51">
        <f aca="true" t="shared" si="0" ref="F21:O21">F23+F27+F35+F39+F43+F47</f>
        <v>919894</v>
      </c>
      <c r="G21" s="51">
        <f t="shared" si="0"/>
        <v>284545</v>
      </c>
      <c r="H21" s="51">
        <f t="shared" si="0"/>
        <v>1204439</v>
      </c>
      <c r="I21" s="51">
        <f t="shared" si="0"/>
        <v>0</v>
      </c>
      <c r="J21" s="51">
        <f t="shared" si="0"/>
        <v>1238867</v>
      </c>
      <c r="K21" s="51">
        <f t="shared" si="0"/>
        <v>0</v>
      </c>
      <c r="L21" s="51">
        <f t="shared" si="0"/>
        <v>0</v>
      </c>
      <c r="M21" s="51">
        <f t="shared" si="0"/>
        <v>1238867</v>
      </c>
      <c r="N21" s="51">
        <f t="shared" si="0"/>
        <v>-189829</v>
      </c>
      <c r="O21" s="51">
        <f t="shared" si="0"/>
        <v>1049038</v>
      </c>
      <c r="P21" s="51">
        <f aca="true" t="shared" si="1" ref="P21:U21">P23+P27+P35+P39+P43+P47</f>
        <v>0</v>
      </c>
      <c r="Q21" s="51">
        <f t="shared" si="1"/>
        <v>1049038</v>
      </c>
      <c r="R21" s="51">
        <f t="shared" si="1"/>
        <v>0</v>
      </c>
      <c r="S21" s="51">
        <f t="shared" si="1"/>
        <v>0</v>
      </c>
      <c r="T21" s="51">
        <f t="shared" si="1"/>
        <v>1049038</v>
      </c>
      <c r="U21" s="51">
        <f t="shared" si="1"/>
        <v>1049038</v>
      </c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</row>
    <row r="22" spans="1:63" s="10" customFormat="1" ht="15.75">
      <c r="A22" s="42"/>
      <c r="B22" s="43"/>
      <c r="C22" s="43"/>
      <c r="D22" s="44"/>
      <c r="E22" s="43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</row>
    <row r="23" spans="1:63" s="12" customFormat="1" ht="72.75" customHeight="1">
      <c r="A23" s="53" t="s">
        <v>255</v>
      </c>
      <c r="B23" s="54" t="s">
        <v>127</v>
      </c>
      <c r="C23" s="54" t="s">
        <v>128</v>
      </c>
      <c r="D23" s="55"/>
      <c r="E23" s="54"/>
      <c r="F23" s="56">
        <f aca="true" t="shared" si="2" ref="F23:U24">F24</f>
        <v>1116</v>
      </c>
      <c r="G23" s="56">
        <f t="shared" si="2"/>
        <v>351</v>
      </c>
      <c r="H23" s="56">
        <f t="shared" si="2"/>
        <v>1467</v>
      </c>
      <c r="I23" s="56">
        <f t="shared" si="2"/>
        <v>0</v>
      </c>
      <c r="J23" s="56">
        <f t="shared" si="2"/>
        <v>1572</v>
      </c>
      <c r="K23" s="56">
        <f t="shared" si="2"/>
        <v>0</v>
      </c>
      <c r="L23" s="56">
        <f t="shared" si="2"/>
        <v>0</v>
      </c>
      <c r="M23" s="56">
        <f t="shared" si="2"/>
        <v>1572</v>
      </c>
      <c r="N23" s="56">
        <f t="shared" si="2"/>
        <v>-299</v>
      </c>
      <c r="O23" s="56">
        <f t="shared" si="2"/>
        <v>1273</v>
      </c>
      <c r="P23" s="56">
        <f t="shared" si="2"/>
        <v>0</v>
      </c>
      <c r="Q23" s="56">
        <f t="shared" si="2"/>
        <v>1273</v>
      </c>
      <c r="R23" s="56">
        <f t="shared" si="2"/>
        <v>0</v>
      </c>
      <c r="S23" s="56">
        <f t="shared" si="2"/>
        <v>0</v>
      </c>
      <c r="T23" s="56">
        <f t="shared" si="2"/>
        <v>1273</v>
      </c>
      <c r="U23" s="56">
        <f t="shared" si="2"/>
        <v>1273</v>
      </c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</row>
    <row r="24" spans="1:63" s="14" customFormat="1" ht="71.25" customHeight="1">
      <c r="A24" s="57" t="s">
        <v>133</v>
      </c>
      <c r="B24" s="58" t="s">
        <v>127</v>
      </c>
      <c r="C24" s="58" t="s">
        <v>128</v>
      </c>
      <c r="D24" s="59" t="s">
        <v>124</v>
      </c>
      <c r="E24" s="58"/>
      <c r="F24" s="59">
        <f t="shared" si="2"/>
        <v>1116</v>
      </c>
      <c r="G24" s="59">
        <f t="shared" si="2"/>
        <v>351</v>
      </c>
      <c r="H24" s="59">
        <f t="shared" si="2"/>
        <v>1467</v>
      </c>
      <c r="I24" s="59">
        <f t="shared" si="2"/>
        <v>0</v>
      </c>
      <c r="J24" s="59">
        <f t="shared" si="2"/>
        <v>1572</v>
      </c>
      <c r="K24" s="59">
        <f t="shared" si="2"/>
        <v>0</v>
      </c>
      <c r="L24" s="59">
        <f t="shared" si="2"/>
        <v>0</v>
      </c>
      <c r="M24" s="59">
        <f t="shared" si="2"/>
        <v>1572</v>
      </c>
      <c r="N24" s="59">
        <f t="shared" si="2"/>
        <v>-299</v>
      </c>
      <c r="O24" s="59">
        <f t="shared" si="2"/>
        <v>1273</v>
      </c>
      <c r="P24" s="59">
        <f t="shared" si="2"/>
        <v>0</v>
      </c>
      <c r="Q24" s="59">
        <f t="shared" si="2"/>
        <v>1273</v>
      </c>
      <c r="R24" s="59">
        <f t="shared" si="2"/>
        <v>0</v>
      </c>
      <c r="S24" s="59">
        <f t="shared" si="2"/>
        <v>0</v>
      </c>
      <c r="T24" s="59">
        <f t="shared" si="2"/>
        <v>1273</v>
      </c>
      <c r="U24" s="59">
        <f t="shared" si="2"/>
        <v>1273</v>
      </c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</row>
    <row r="25" spans="1:63" s="16" customFormat="1" ht="35.25" customHeight="1">
      <c r="A25" s="57" t="s">
        <v>129</v>
      </c>
      <c r="B25" s="58" t="s">
        <v>127</v>
      </c>
      <c r="C25" s="58" t="s">
        <v>128</v>
      </c>
      <c r="D25" s="58" t="s">
        <v>124</v>
      </c>
      <c r="E25" s="58" t="s">
        <v>130</v>
      </c>
      <c r="F25" s="59">
        <v>1116</v>
      </c>
      <c r="G25" s="59">
        <f>H25-F25</f>
        <v>351</v>
      </c>
      <c r="H25" s="59">
        <v>1467</v>
      </c>
      <c r="I25" s="60"/>
      <c r="J25" s="59">
        <v>1572</v>
      </c>
      <c r="K25" s="60"/>
      <c r="L25" s="60"/>
      <c r="M25" s="59">
        <v>1572</v>
      </c>
      <c r="N25" s="59">
        <f>O25-M25</f>
        <v>-299</v>
      </c>
      <c r="O25" s="59">
        <v>1273</v>
      </c>
      <c r="P25" s="59"/>
      <c r="Q25" s="59">
        <v>1273</v>
      </c>
      <c r="R25" s="61"/>
      <c r="S25" s="61"/>
      <c r="T25" s="59">
        <f>O25+R25</f>
        <v>1273</v>
      </c>
      <c r="U25" s="59">
        <f>Q25+S25</f>
        <v>1273</v>
      </c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</row>
    <row r="26" spans="1:63" s="10" customFormat="1" ht="21.75" customHeight="1">
      <c r="A26" s="62"/>
      <c r="B26" s="43"/>
      <c r="C26" s="43"/>
      <c r="D26" s="44"/>
      <c r="E26" s="43"/>
      <c r="F26" s="52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  <c r="S26" s="64"/>
      <c r="T26" s="64"/>
      <c r="U26" s="64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</row>
    <row r="27" spans="1:63" s="12" customFormat="1" ht="93.75">
      <c r="A27" s="53" t="s">
        <v>131</v>
      </c>
      <c r="B27" s="54" t="s">
        <v>127</v>
      </c>
      <c r="C27" s="54" t="s">
        <v>132</v>
      </c>
      <c r="D27" s="65"/>
      <c r="E27" s="54"/>
      <c r="F27" s="66">
        <f aca="true" t="shared" si="3" ref="F27:O27">F28+F30+F32</f>
        <v>87504</v>
      </c>
      <c r="G27" s="66">
        <f t="shared" si="3"/>
        <v>22625</v>
      </c>
      <c r="H27" s="66">
        <f t="shared" si="3"/>
        <v>110129</v>
      </c>
      <c r="I27" s="66">
        <f t="shared" si="3"/>
        <v>0</v>
      </c>
      <c r="J27" s="66">
        <f t="shared" si="3"/>
        <v>117159</v>
      </c>
      <c r="K27" s="66">
        <f t="shared" si="3"/>
        <v>0</v>
      </c>
      <c r="L27" s="66">
        <f t="shared" si="3"/>
        <v>0</v>
      </c>
      <c r="M27" s="66">
        <f t="shared" si="3"/>
        <v>117159</v>
      </c>
      <c r="N27" s="66">
        <f t="shared" si="3"/>
        <v>-37634</v>
      </c>
      <c r="O27" s="66">
        <f t="shared" si="3"/>
        <v>79525</v>
      </c>
      <c r="P27" s="66">
        <f aca="true" t="shared" si="4" ref="P27:U27">P28+P30+P32</f>
        <v>0</v>
      </c>
      <c r="Q27" s="66">
        <f t="shared" si="4"/>
        <v>79525</v>
      </c>
      <c r="R27" s="66">
        <f t="shared" si="4"/>
        <v>0</v>
      </c>
      <c r="S27" s="66">
        <f t="shared" si="4"/>
        <v>0</v>
      </c>
      <c r="T27" s="66">
        <f t="shared" si="4"/>
        <v>79525</v>
      </c>
      <c r="U27" s="66">
        <f t="shared" si="4"/>
        <v>79525</v>
      </c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</row>
    <row r="28" spans="1:63" s="14" customFormat="1" ht="66.75" customHeight="1">
      <c r="A28" s="67" t="s">
        <v>133</v>
      </c>
      <c r="B28" s="68" t="s">
        <v>127</v>
      </c>
      <c r="C28" s="68" t="s">
        <v>132</v>
      </c>
      <c r="D28" s="69" t="s">
        <v>124</v>
      </c>
      <c r="E28" s="68"/>
      <c r="F28" s="70">
        <f aca="true" t="shared" si="5" ref="F28:U28">F29</f>
        <v>85663</v>
      </c>
      <c r="G28" s="70">
        <f t="shared" si="5"/>
        <v>21771</v>
      </c>
      <c r="H28" s="70">
        <f t="shared" si="5"/>
        <v>107434</v>
      </c>
      <c r="I28" s="70">
        <f t="shared" si="5"/>
        <v>0</v>
      </c>
      <c r="J28" s="70">
        <f t="shared" si="5"/>
        <v>114272</v>
      </c>
      <c r="K28" s="70">
        <f t="shared" si="5"/>
        <v>0</v>
      </c>
      <c r="L28" s="70">
        <f t="shared" si="5"/>
        <v>0</v>
      </c>
      <c r="M28" s="70">
        <f t="shared" si="5"/>
        <v>114272</v>
      </c>
      <c r="N28" s="70">
        <f t="shared" si="5"/>
        <v>-36818</v>
      </c>
      <c r="O28" s="70">
        <f t="shared" si="5"/>
        <v>77454</v>
      </c>
      <c r="P28" s="70">
        <f t="shared" si="5"/>
        <v>0</v>
      </c>
      <c r="Q28" s="70">
        <f t="shared" si="5"/>
        <v>77454</v>
      </c>
      <c r="R28" s="70">
        <f t="shared" si="5"/>
        <v>0</v>
      </c>
      <c r="S28" s="70">
        <f t="shared" si="5"/>
        <v>0</v>
      </c>
      <c r="T28" s="70">
        <f t="shared" si="5"/>
        <v>77454</v>
      </c>
      <c r="U28" s="70">
        <f t="shared" si="5"/>
        <v>77454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</row>
    <row r="29" spans="1:63" s="16" customFormat="1" ht="33">
      <c r="A29" s="67" t="s">
        <v>129</v>
      </c>
      <c r="B29" s="68" t="s">
        <v>127</v>
      </c>
      <c r="C29" s="68" t="s">
        <v>132</v>
      </c>
      <c r="D29" s="69" t="s">
        <v>124</v>
      </c>
      <c r="E29" s="68" t="s">
        <v>130</v>
      </c>
      <c r="F29" s="59">
        <v>85663</v>
      </c>
      <c r="G29" s="59">
        <f>H29-F29</f>
        <v>21771</v>
      </c>
      <c r="H29" s="71">
        <v>107434</v>
      </c>
      <c r="I29" s="71"/>
      <c r="J29" s="71">
        <v>114272</v>
      </c>
      <c r="K29" s="72"/>
      <c r="L29" s="72"/>
      <c r="M29" s="59">
        <v>114272</v>
      </c>
      <c r="N29" s="59">
        <f>O29-M29</f>
        <v>-36818</v>
      </c>
      <c r="O29" s="59">
        <v>77454</v>
      </c>
      <c r="P29" s="59"/>
      <c r="Q29" s="59">
        <v>77454</v>
      </c>
      <c r="R29" s="61"/>
      <c r="S29" s="61"/>
      <c r="T29" s="59">
        <f>O29+R29</f>
        <v>77454</v>
      </c>
      <c r="U29" s="59">
        <f>Q29+S29</f>
        <v>77454</v>
      </c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</row>
    <row r="30" spans="1:63" s="18" customFormat="1" ht="33">
      <c r="A30" s="67" t="s">
        <v>18</v>
      </c>
      <c r="B30" s="68" t="s">
        <v>127</v>
      </c>
      <c r="C30" s="68" t="s">
        <v>132</v>
      </c>
      <c r="D30" s="69" t="s">
        <v>124</v>
      </c>
      <c r="E30" s="68"/>
      <c r="F30" s="59">
        <f aca="true" t="shared" si="6" ref="F30:U30">F31</f>
        <v>681</v>
      </c>
      <c r="G30" s="59">
        <f t="shared" si="6"/>
        <v>357</v>
      </c>
      <c r="H30" s="59">
        <f t="shared" si="6"/>
        <v>1038</v>
      </c>
      <c r="I30" s="59">
        <f t="shared" si="6"/>
        <v>0</v>
      </c>
      <c r="J30" s="59">
        <f t="shared" si="6"/>
        <v>1112</v>
      </c>
      <c r="K30" s="59">
        <f t="shared" si="6"/>
        <v>0</v>
      </c>
      <c r="L30" s="59">
        <f t="shared" si="6"/>
        <v>0</v>
      </c>
      <c r="M30" s="59">
        <f t="shared" si="6"/>
        <v>1112</v>
      </c>
      <c r="N30" s="59">
        <f t="shared" si="6"/>
        <v>-371</v>
      </c>
      <c r="O30" s="59">
        <f t="shared" si="6"/>
        <v>741</v>
      </c>
      <c r="P30" s="59">
        <f t="shared" si="6"/>
        <v>0</v>
      </c>
      <c r="Q30" s="59">
        <f t="shared" si="6"/>
        <v>741</v>
      </c>
      <c r="R30" s="59">
        <f t="shared" si="6"/>
        <v>0</v>
      </c>
      <c r="S30" s="59">
        <f t="shared" si="6"/>
        <v>0</v>
      </c>
      <c r="T30" s="59">
        <f t="shared" si="6"/>
        <v>741</v>
      </c>
      <c r="U30" s="59">
        <f t="shared" si="6"/>
        <v>741</v>
      </c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</row>
    <row r="31" spans="1:63" s="18" customFormat="1" ht="33">
      <c r="A31" s="67" t="s">
        <v>129</v>
      </c>
      <c r="B31" s="68" t="s">
        <v>127</v>
      </c>
      <c r="C31" s="68" t="s">
        <v>132</v>
      </c>
      <c r="D31" s="69" t="s">
        <v>124</v>
      </c>
      <c r="E31" s="68" t="s">
        <v>130</v>
      </c>
      <c r="F31" s="59">
        <v>681</v>
      </c>
      <c r="G31" s="59">
        <f>H31-F31</f>
        <v>357</v>
      </c>
      <c r="H31" s="59">
        <v>1038</v>
      </c>
      <c r="I31" s="59"/>
      <c r="J31" s="59">
        <v>1112</v>
      </c>
      <c r="K31" s="73"/>
      <c r="L31" s="73"/>
      <c r="M31" s="59">
        <v>1112</v>
      </c>
      <c r="N31" s="59">
        <f>O31-M31</f>
        <v>-371</v>
      </c>
      <c r="O31" s="59">
        <v>741</v>
      </c>
      <c r="P31" s="59"/>
      <c r="Q31" s="59">
        <v>741</v>
      </c>
      <c r="R31" s="73"/>
      <c r="S31" s="73"/>
      <c r="T31" s="59">
        <f>O31+R31</f>
        <v>741</v>
      </c>
      <c r="U31" s="59">
        <f>Q31+S31</f>
        <v>741</v>
      </c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</row>
    <row r="32" spans="1:63" s="16" customFormat="1" ht="33">
      <c r="A32" s="67" t="s">
        <v>19</v>
      </c>
      <c r="B32" s="68" t="s">
        <v>127</v>
      </c>
      <c r="C32" s="68" t="s">
        <v>132</v>
      </c>
      <c r="D32" s="69" t="s">
        <v>124</v>
      </c>
      <c r="E32" s="68"/>
      <c r="F32" s="59">
        <f aca="true" t="shared" si="7" ref="F32:U32">F33</f>
        <v>1160</v>
      </c>
      <c r="G32" s="59">
        <f t="shared" si="7"/>
        <v>497</v>
      </c>
      <c r="H32" s="59">
        <f t="shared" si="7"/>
        <v>1657</v>
      </c>
      <c r="I32" s="59">
        <f t="shared" si="7"/>
        <v>0</v>
      </c>
      <c r="J32" s="59">
        <f t="shared" si="7"/>
        <v>1775</v>
      </c>
      <c r="K32" s="59">
        <f t="shared" si="7"/>
        <v>0</v>
      </c>
      <c r="L32" s="59">
        <f t="shared" si="7"/>
        <v>0</v>
      </c>
      <c r="M32" s="59">
        <f t="shared" si="7"/>
        <v>1775</v>
      </c>
      <c r="N32" s="59">
        <f t="shared" si="7"/>
        <v>-445</v>
      </c>
      <c r="O32" s="59">
        <f t="shared" si="7"/>
        <v>1330</v>
      </c>
      <c r="P32" s="59">
        <f t="shared" si="7"/>
        <v>0</v>
      </c>
      <c r="Q32" s="59">
        <f t="shared" si="7"/>
        <v>1330</v>
      </c>
      <c r="R32" s="59">
        <f t="shared" si="7"/>
        <v>0</v>
      </c>
      <c r="S32" s="59">
        <f t="shared" si="7"/>
        <v>0</v>
      </c>
      <c r="T32" s="59">
        <f t="shared" si="7"/>
        <v>1330</v>
      </c>
      <c r="U32" s="59">
        <f t="shared" si="7"/>
        <v>1330</v>
      </c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</row>
    <row r="33" spans="1:63" s="18" customFormat="1" ht="33">
      <c r="A33" s="67" t="s">
        <v>129</v>
      </c>
      <c r="B33" s="68" t="s">
        <v>127</v>
      </c>
      <c r="C33" s="68" t="s">
        <v>132</v>
      </c>
      <c r="D33" s="69" t="s">
        <v>124</v>
      </c>
      <c r="E33" s="68" t="s">
        <v>130</v>
      </c>
      <c r="F33" s="59">
        <v>1160</v>
      </c>
      <c r="G33" s="59">
        <f>H33-F33</f>
        <v>497</v>
      </c>
      <c r="H33" s="59">
        <v>1657</v>
      </c>
      <c r="I33" s="59"/>
      <c r="J33" s="59">
        <v>1775</v>
      </c>
      <c r="K33" s="73"/>
      <c r="L33" s="73"/>
      <c r="M33" s="59">
        <v>1775</v>
      </c>
      <c r="N33" s="59">
        <f>O33-M33</f>
        <v>-445</v>
      </c>
      <c r="O33" s="59">
        <v>1330</v>
      </c>
      <c r="P33" s="59"/>
      <c r="Q33" s="59">
        <v>1330</v>
      </c>
      <c r="R33" s="73"/>
      <c r="S33" s="73"/>
      <c r="T33" s="59">
        <f>O33+R33</f>
        <v>1330</v>
      </c>
      <c r="U33" s="59">
        <f>Q33+S33</f>
        <v>1330</v>
      </c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</row>
    <row r="34" spans="1:63" s="18" customFormat="1" ht="16.5">
      <c r="A34" s="67"/>
      <c r="B34" s="68"/>
      <c r="C34" s="68"/>
      <c r="D34" s="69"/>
      <c r="E34" s="68"/>
      <c r="F34" s="74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</row>
    <row r="35" spans="1:63" s="12" customFormat="1" ht="112.5" customHeight="1">
      <c r="A35" s="53" t="s">
        <v>134</v>
      </c>
      <c r="B35" s="54" t="s">
        <v>127</v>
      </c>
      <c r="C35" s="54" t="s">
        <v>135</v>
      </c>
      <c r="D35" s="65"/>
      <c r="E35" s="54"/>
      <c r="F35" s="56">
        <f aca="true" t="shared" si="8" ref="F35:U36">F36</f>
        <v>564887</v>
      </c>
      <c r="G35" s="56">
        <f aca="true" t="shared" si="9" ref="G35:U35">G36</f>
        <v>202103</v>
      </c>
      <c r="H35" s="56">
        <f t="shared" si="9"/>
        <v>766990</v>
      </c>
      <c r="I35" s="56">
        <f t="shared" si="9"/>
        <v>0</v>
      </c>
      <c r="J35" s="56">
        <f t="shared" si="9"/>
        <v>826944</v>
      </c>
      <c r="K35" s="56">
        <f t="shared" si="9"/>
        <v>0</v>
      </c>
      <c r="L35" s="56">
        <f t="shared" si="9"/>
        <v>0</v>
      </c>
      <c r="M35" s="56">
        <f t="shared" si="9"/>
        <v>826944</v>
      </c>
      <c r="N35" s="56">
        <f t="shared" si="9"/>
        <v>-262163</v>
      </c>
      <c r="O35" s="56">
        <f t="shared" si="9"/>
        <v>564781</v>
      </c>
      <c r="P35" s="56">
        <f t="shared" si="9"/>
        <v>0</v>
      </c>
      <c r="Q35" s="56">
        <f t="shared" si="9"/>
        <v>565063</v>
      </c>
      <c r="R35" s="56">
        <f t="shared" si="9"/>
        <v>0</v>
      </c>
      <c r="S35" s="56">
        <f t="shared" si="9"/>
        <v>0</v>
      </c>
      <c r="T35" s="56">
        <f t="shared" si="9"/>
        <v>564781</v>
      </c>
      <c r="U35" s="56">
        <f t="shared" si="9"/>
        <v>565063</v>
      </c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</row>
    <row r="36" spans="1:63" s="14" customFormat="1" ht="73.5" customHeight="1">
      <c r="A36" s="67" t="s">
        <v>133</v>
      </c>
      <c r="B36" s="68" t="s">
        <v>127</v>
      </c>
      <c r="C36" s="68" t="s">
        <v>135</v>
      </c>
      <c r="D36" s="69" t="s">
        <v>124</v>
      </c>
      <c r="E36" s="68"/>
      <c r="F36" s="59">
        <f t="shared" si="8"/>
        <v>564887</v>
      </c>
      <c r="G36" s="59">
        <f t="shared" si="8"/>
        <v>202103</v>
      </c>
      <c r="H36" s="59">
        <f t="shared" si="8"/>
        <v>766990</v>
      </c>
      <c r="I36" s="59">
        <f t="shared" si="8"/>
        <v>0</v>
      </c>
      <c r="J36" s="59">
        <f t="shared" si="8"/>
        <v>826944</v>
      </c>
      <c r="K36" s="59">
        <f t="shared" si="8"/>
        <v>0</v>
      </c>
      <c r="L36" s="59">
        <f t="shared" si="8"/>
        <v>0</v>
      </c>
      <c r="M36" s="59">
        <f t="shared" si="8"/>
        <v>826944</v>
      </c>
      <c r="N36" s="59">
        <f t="shared" si="8"/>
        <v>-262163</v>
      </c>
      <c r="O36" s="59">
        <f t="shared" si="8"/>
        <v>564781</v>
      </c>
      <c r="P36" s="59">
        <f t="shared" si="8"/>
        <v>0</v>
      </c>
      <c r="Q36" s="59">
        <f t="shared" si="8"/>
        <v>565063</v>
      </c>
      <c r="R36" s="59">
        <f t="shared" si="8"/>
        <v>0</v>
      </c>
      <c r="S36" s="59">
        <f t="shared" si="8"/>
        <v>0</v>
      </c>
      <c r="T36" s="59">
        <f t="shared" si="8"/>
        <v>564781</v>
      </c>
      <c r="U36" s="59">
        <f t="shared" si="8"/>
        <v>565063</v>
      </c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</row>
    <row r="37" spans="1:63" s="16" customFormat="1" ht="36.75" customHeight="1">
      <c r="A37" s="67" t="s">
        <v>129</v>
      </c>
      <c r="B37" s="68" t="s">
        <v>127</v>
      </c>
      <c r="C37" s="68" t="s">
        <v>135</v>
      </c>
      <c r="D37" s="69" t="s">
        <v>124</v>
      </c>
      <c r="E37" s="68" t="s">
        <v>130</v>
      </c>
      <c r="F37" s="59">
        <v>564887</v>
      </c>
      <c r="G37" s="59">
        <f>H37-F37</f>
        <v>202103</v>
      </c>
      <c r="H37" s="75">
        <f>770486+4041+12381-19918</f>
        <v>766990</v>
      </c>
      <c r="I37" s="75"/>
      <c r="J37" s="75">
        <f>827597+4329+13260-18242</f>
        <v>826944</v>
      </c>
      <c r="K37" s="76"/>
      <c r="L37" s="76"/>
      <c r="M37" s="59">
        <v>826944</v>
      </c>
      <c r="N37" s="59">
        <f>O37-M37</f>
        <v>-262163</v>
      </c>
      <c r="O37" s="59">
        <f>557178+1853+5750</f>
        <v>564781</v>
      </c>
      <c r="P37" s="59"/>
      <c r="Q37" s="59">
        <f>557450+1853+5750+10</f>
        <v>565063</v>
      </c>
      <c r="R37" s="61"/>
      <c r="S37" s="61"/>
      <c r="T37" s="59">
        <f>O37+R37</f>
        <v>564781</v>
      </c>
      <c r="U37" s="59">
        <f>Q37+S37</f>
        <v>565063</v>
      </c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</row>
    <row r="38" spans="1:63" s="16" customFormat="1" ht="16.5">
      <c r="A38" s="67"/>
      <c r="B38" s="68"/>
      <c r="C38" s="68"/>
      <c r="D38" s="69"/>
      <c r="E38" s="68"/>
      <c r="F38" s="77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61"/>
      <c r="S38" s="61"/>
      <c r="T38" s="61"/>
      <c r="U38" s="61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</row>
    <row r="39" spans="1:21" ht="45.75" customHeight="1">
      <c r="A39" s="53" t="s">
        <v>20</v>
      </c>
      <c r="B39" s="54" t="s">
        <v>127</v>
      </c>
      <c r="C39" s="54" t="s">
        <v>139</v>
      </c>
      <c r="D39" s="65"/>
      <c r="E39" s="54"/>
      <c r="F39" s="56">
        <f aca="true" t="shared" si="10" ref="F39:U40">F40</f>
        <v>142800</v>
      </c>
      <c r="G39" s="56">
        <f t="shared" si="10"/>
        <v>-55429</v>
      </c>
      <c r="H39" s="56">
        <f t="shared" si="10"/>
        <v>87371</v>
      </c>
      <c r="I39" s="56">
        <f t="shared" si="10"/>
        <v>0</v>
      </c>
      <c r="J39" s="56">
        <f t="shared" si="10"/>
        <v>127152</v>
      </c>
      <c r="K39" s="56">
        <f t="shared" si="10"/>
        <v>0</v>
      </c>
      <c r="L39" s="56">
        <f t="shared" si="10"/>
        <v>0</v>
      </c>
      <c r="M39" s="56">
        <f t="shared" si="10"/>
        <v>127152</v>
      </c>
      <c r="N39" s="56">
        <f t="shared" si="10"/>
        <v>-42490</v>
      </c>
      <c r="O39" s="56">
        <f t="shared" si="10"/>
        <v>84662</v>
      </c>
      <c r="P39" s="56">
        <f t="shared" si="10"/>
        <v>0</v>
      </c>
      <c r="Q39" s="56">
        <f t="shared" si="10"/>
        <v>84662</v>
      </c>
      <c r="R39" s="56">
        <f t="shared" si="10"/>
        <v>0</v>
      </c>
      <c r="S39" s="56">
        <f t="shared" si="10"/>
        <v>0</v>
      </c>
      <c r="T39" s="56">
        <f t="shared" si="10"/>
        <v>84662</v>
      </c>
      <c r="U39" s="56">
        <f t="shared" si="10"/>
        <v>84662</v>
      </c>
    </row>
    <row r="40" spans="1:63" s="20" customFormat="1" ht="21" customHeight="1">
      <c r="A40" s="67" t="s">
        <v>21</v>
      </c>
      <c r="B40" s="68" t="s">
        <v>127</v>
      </c>
      <c r="C40" s="68" t="s">
        <v>139</v>
      </c>
      <c r="D40" s="69" t="s">
        <v>22</v>
      </c>
      <c r="E40" s="68"/>
      <c r="F40" s="59">
        <f t="shared" si="10"/>
        <v>142800</v>
      </c>
      <c r="G40" s="59">
        <f t="shared" si="10"/>
        <v>-55429</v>
      </c>
      <c r="H40" s="59">
        <f t="shared" si="10"/>
        <v>87371</v>
      </c>
      <c r="I40" s="59">
        <f t="shared" si="10"/>
        <v>0</v>
      </c>
      <c r="J40" s="59">
        <f t="shared" si="10"/>
        <v>127152</v>
      </c>
      <c r="K40" s="59">
        <f t="shared" si="10"/>
        <v>0</v>
      </c>
      <c r="L40" s="59">
        <f t="shared" si="10"/>
        <v>0</v>
      </c>
      <c r="M40" s="59">
        <f t="shared" si="10"/>
        <v>127152</v>
      </c>
      <c r="N40" s="59">
        <f t="shared" si="10"/>
        <v>-42490</v>
      </c>
      <c r="O40" s="59">
        <f t="shared" si="10"/>
        <v>84662</v>
      </c>
      <c r="P40" s="59">
        <f t="shared" si="10"/>
        <v>0</v>
      </c>
      <c r="Q40" s="59">
        <f t="shared" si="10"/>
        <v>84662</v>
      </c>
      <c r="R40" s="59">
        <f t="shared" si="10"/>
        <v>0</v>
      </c>
      <c r="S40" s="59">
        <f t="shared" si="10"/>
        <v>0</v>
      </c>
      <c r="T40" s="59">
        <f t="shared" si="10"/>
        <v>84662</v>
      </c>
      <c r="U40" s="59">
        <f t="shared" si="10"/>
        <v>84662</v>
      </c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</row>
    <row r="41" spans="1:63" s="14" customFormat="1" ht="16.5">
      <c r="A41" s="67" t="s">
        <v>140</v>
      </c>
      <c r="B41" s="68" t="s">
        <v>127</v>
      </c>
      <c r="C41" s="68" t="s">
        <v>139</v>
      </c>
      <c r="D41" s="69" t="s">
        <v>22</v>
      </c>
      <c r="E41" s="68" t="s">
        <v>16</v>
      </c>
      <c r="F41" s="59">
        <v>142800</v>
      </c>
      <c r="G41" s="59">
        <f>H41-F41</f>
        <v>-55429</v>
      </c>
      <c r="H41" s="59">
        <v>87371</v>
      </c>
      <c r="I41" s="59"/>
      <c r="J41" s="59">
        <v>127152</v>
      </c>
      <c r="K41" s="78"/>
      <c r="L41" s="78"/>
      <c r="M41" s="59">
        <v>127152</v>
      </c>
      <c r="N41" s="59">
        <f>O41-M41</f>
        <v>-42490</v>
      </c>
      <c r="O41" s="59">
        <v>84662</v>
      </c>
      <c r="P41" s="59"/>
      <c r="Q41" s="59">
        <v>84662</v>
      </c>
      <c r="R41" s="79"/>
      <c r="S41" s="79"/>
      <c r="T41" s="59">
        <f>O41+R41</f>
        <v>84662</v>
      </c>
      <c r="U41" s="59">
        <f>Q41+S41</f>
        <v>84662</v>
      </c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</row>
    <row r="42" spans="1:63" s="14" customFormat="1" ht="16.5">
      <c r="A42" s="67"/>
      <c r="B42" s="68"/>
      <c r="C42" s="68"/>
      <c r="D42" s="69"/>
      <c r="E42" s="68"/>
      <c r="F42" s="80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9"/>
      <c r="S42" s="79"/>
      <c r="T42" s="79"/>
      <c r="U42" s="79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</row>
    <row r="43" spans="1:63" s="16" customFormat="1" ht="26.25" customHeight="1">
      <c r="A43" s="53" t="s">
        <v>23</v>
      </c>
      <c r="B43" s="54" t="s">
        <v>127</v>
      </c>
      <c r="C43" s="54" t="s">
        <v>141</v>
      </c>
      <c r="D43" s="65"/>
      <c r="E43" s="54"/>
      <c r="F43" s="56">
        <f aca="true" t="shared" si="11" ref="F43:U44">F44</f>
        <v>35000</v>
      </c>
      <c r="G43" s="56">
        <f t="shared" si="11"/>
        <v>0</v>
      </c>
      <c r="H43" s="56">
        <f t="shared" si="11"/>
        <v>35000</v>
      </c>
      <c r="I43" s="56">
        <f t="shared" si="11"/>
        <v>0</v>
      </c>
      <c r="J43" s="56">
        <f t="shared" si="11"/>
        <v>35000</v>
      </c>
      <c r="K43" s="56">
        <f t="shared" si="11"/>
        <v>0</v>
      </c>
      <c r="L43" s="56">
        <f t="shared" si="11"/>
        <v>0</v>
      </c>
      <c r="M43" s="56">
        <f t="shared" si="11"/>
        <v>35000</v>
      </c>
      <c r="N43" s="56">
        <f t="shared" si="11"/>
        <v>-25310</v>
      </c>
      <c r="O43" s="56">
        <f t="shared" si="11"/>
        <v>9690</v>
      </c>
      <c r="P43" s="56">
        <f t="shared" si="11"/>
        <v>0</v>
      </c>
      <c r="Q43" s="56">
        <f t="shared" si="11"/>
        <v>9690</v>
      </c>
      <c r="R43" s="56">
        <f t="shared" si="11"/>
        <v>0</v>
      </c>
      <c r="S43" s="56">
        <f t="shared" si="11"/>
        <v>0</v>
      </c>
      <c r="T43" s="56">
        <f t="shared" si="11"/>
        <v>9690</v>
      </c>
      <c r="U43" s="56">
        <f t="shared" si="11"/>
        <v>9690</v>
      </c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</row>
    <row r="44" spans="1:21" ht="17.25" customHeight="1">
      <c r="A44" s="67" t="s">
        <v>23</v>
      </c>
      <c r="B44" s="68" t="s">
        <v>127</v>
      </c>
      <c r="C44" s="68" t="s">
        <v>141</v>
      </c>
      <c r="D44" s="69" t="s">
        <v>24</v>
      </c>
      <c r="E44" s="68"/>
      <c r="F44" s="59">
        <f t="shared" si="11"/>
        <v>35000</v>
      </c>
      <c r="G44" s="59">
        <f t="shared" si="11"/>
        <v>0</v>
      </c>
      <c r="H44" s="59">
        <f t="shared" si="11"/>
        <v>35000</v>
      </c>
      <c r="I44" s="59">
        <f t="shared" si="11"/>
        <v>0</v>
      </c>
      <c r="J44" s="59">
        <f t="shared" si="11"/>
        <v>35000</v>
      </c>
      <c r="K44" s="59">
        <f t="shared" si="11"/>
        <v>0</v>
      </c>
      <c r="L44" s="59">
        <f t="shared" si="11"/>
        <v>0</v>
      </c>
      <c r="M44" s="59">
        <f t="shared" si="11"/>
        <v>35000</v>
      </c>
      <c r="N44" s="59">
        <f t="shared" si="11"/>
        <v>-25310</v>
      </c>
      <c r="O44" s="59">
        <f t="shared" si="11"/>
        <v>9690</v>
      </c>
      <c r="P44" s="59">
        <f t="shared" si="11"/>
        <v>0</v>
      </c>
      <c r="Q44" s="59">
        <f t="shared" si="11"/>
        <v>9690</v>
      </c>
      <c r="R44" s="59">
        <f t="shared" si="11"/>
        <v>0</v>
      </c>
      <c r="S44" s="59">
        <f t="shared" si="11"/>
        <v>0</v>
      </c>
      <c r="T44" s="59">
        <f t="shared" si="11"/>
        <v>9690</v>
      </c>
      <c r="U44" s="59">
        <f t="shared" si="11"/>
        <v>9690</v>
      </c>
    </row>
    <row r="45" spans="1:63" s="12" customFormat="1" ht="62.25" customHeight="1">
      <c r="A45" s="67" t="s">
        <v>137</v>
      </c>
      <c r="B45" s="68" t="s">
        <v>127</v>
      </c>
      <c r="C45" s="68" t="s">
        <v>141</v>
      </c>
      <c r="D45" s="69" t="s">
        <v>24</v>
      </c>
      <c r="E45" s="68" t="s">
        <v>138</v>
      </c>
      <c r="F45" s="59">
        <v>35000</v>
      </c>
      <c r="G45" s="59">
        <f>H45-F45</f>
        <v>0</v>
      </c>
      <c r="H45" s="59">
        <v>35000</v>
      </c>
      <c r="I45" s="59"/>
      <c r="J45" s="59">
        <v>35000</v>
      </c>
      <c r="K45" s="81"/>
      <c r="L45" s="81"/>
      <c r="M45" s="59">
        <v>35000</v>
      </c>
      <c r="N45" s="59">
        <f>O45-M45</f>
        <v>-25310</v>
      </c>
      <c r="O45" s="59">
        <v>9690</v>
      </c>
      <c r="P45" s="59"/>
      <c r="Q45" s="59">
        <v>9690</v>
      </c>
      <c r="R45" s="82"/>
      <c r="S45" s="82"/>
      <c r="T45" s="59">
        <f>O45+R45</f>
        <v>9690</v>
      </c>
      <c r="U45" s="59">
        <f>Q45+S45</f>
        <v>9690</v>
      </c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</row>
    <row r="46" spans="1:21" ht="20.25" customHeight="1">
      <c r="A46" s="83"/>
      <c r="B46" s="84"/>
      <c r="C46" s="84"/>
      <c r="D46" s="85"/>
      <c r="E46" s="84"/>
      <c r="F46" s="45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1:63" s="12" customFormat="1" ht="17.25" customHeight="1">
      <c r="A47" s="53" t="s">
        <v>25</v>
      </c>
      <c r="B47" s="54" t="s">
        <v>127</v>
      </c>
      <c r="C47" s="54" t="s">
        <v>142</v>
      </c>
      <c r="D47" s="65"/>
      <c r="E47" s="54"/>
      <c r="F47" s="56">
        <f aca="true" t="shared" si="12" ref="F47:O47">F48+F52+F58+F50</f>
        <v>88587</v>
      </c>
      <c r="G47" s="56">
        <f t="shared" si="12"/>
        <v>114895</v>
      </c>
      <c r="H47" s="56">
        <f t="shared" si="12"/>
        <v>203482</v>
      </c>
      <c r="I47" s="56">
        <f t="shared" si="12"/>
        <v>0</v>
      </c>
      <c r="J47" s="56">
        <f t="shared" si="12"/>
        <v>131040</v>
      </c>
      <c r="K47" s="56">
        <f t="shared" si="12"/>
        <v>0</v>
      </c>
      <c r="L47" s="56">
        <f t="shared" si="12"/>
        <v>0</v>
      </c>
      <c r="M47" s="56">
        <f t="shared" si="12"/>
        <v>131040</v>
      </c>
      <c r="N47" s="56">
        <f t="shared" si="12"/>
        <v>178067</v>
      </c>
      <c r="O47" s="56">
        <f t="shared" si="12"/>
        <v>309107</v>
      </c>
      <c r="P47" s="56">
        <f aca="true" t="shared" si="13" ref="P47:U47">P48+P52+P58+P50</f>
        <v>0</v>
      </c>
      <c r="Q47" s="56">
        <f t="shared" si="13"/>
        <v>308825</v>
      </c>
      <c r="R47" s="56">
        <f t="shared" si="13"/>
        <v>0</v>
      </c>
      <c r="S47" s="56">
        <f t="shared" si="13"/>
        <v>0</v>
      </c>
      <c r="T47" s="56">
        <f t="shared" si="13"/>
        <v>309107</v>
      </c>
      <c r="U47" s="56">
        <f t="shared" si="13"/>
        <v>308825</v>
      </c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</row>
    <row r="48" spans="1:63" s="10" customFormat="1" ht="69.75" customHeight="1">
      <c r="A48" s="67" t="s">
        <v>133</v>
      </c>
      <c r="B48" s="68" t="s">
        <v>127</v>
      </c>
      <c r="C48" s="68" t="s">
        <v>142</v>
      </c>
      <c r="D48" s="69" t="s">
        <v>124</v>
      </c>
      <c r="E48" s="68"/>
      <c r="F48" s="59">
        <f aca="true" t="shared" si="14" ref="F48:U48">F49</f>
        <v>21675</v>
      </c>
      <c r="G48" s="59">
        <f t="shared" si="14"/>
        <v>-20946</v>
      </c>
      <c r="H48" s="59">
        <f t="shared" si="14"/>
        <v>729</v>
      </c>
      <c r="I48" s="59">
        <f t="shared" si="14"/>
        <v>0</v>
      </c>
      <c r="J48" s="59">
        <f t="shared" si="14"/>
        <v>780</v>
      </c>
      <c r="K48" s="59">
        <f t="shared" si="14"/>
        <v>0</v>
      </c>
      <c r="L48" s="59">
        <f t="shared" si="14"/>
        <v>0</v>
      </c>
      <c r="M48" s="59">
        <f t="shared" si="14"/>
        <v>780</v>
      </c>
      <c r="N48" s="59">
        <f t="shared" si="14"/>
        <v>-55</v>
      </c>
      <c r="O48" s="59">
        <f t="shared" si="14"/>
        <v>725</v>
      </c>
      <c r="P48" s="59">
        <f t="shared" si="14"/>
        <v>0</v>
      </c>
      <c r="Q48" s="59">
        <f t="shared" si="14"/>
        <v>725</v>
      </c>
      <c r="R48" s="59">
        <f t="shared" si="14"/>
        <v>0</v>
      </c>
      <c r="S48" s="59">
        <f t="shared" si="14"/>
        <v>0</v>
      </c>
      <c r="T48" s="59">
        <f t="shared" si="14"/>
        <v>725</v>
      </c>
      <c r="U48" s="59">
        <f t="shared" si="14"/>
        <v>725</v>
      </c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</row>
    <row r="49" spans="1:63" s="14" customFormat="1" ht="34.5" customHeight="1">
      <c r="A49" s="67" t="s">
        <v>129</v>
      </c>
      <c r="B49" s="68" t="s">
        <v>127</v>
      </c>
      <c r="C49" s="68" t="s">
        <v>142</v>
      </c>
      <c r="D49" s="69" t="s">
        <v>124</v>
      </c>
      <c r="E49" s="68" t="s">
        <v>130</v>
      </c>
      <c r="F49" s="59">
        <v>21675</v>
      </c>
      <c r="G49" s="59">
        <f>H49-F49</f>
        <v>-20946</v>
      </c>
      <c r="H49" s="75">
        <v>729</v>
      </c>
      <c r="I49" s="75"/>
      <c r="J49" s="75">
        <v>780</v>
      </c>
      <c r="K49" s="76"/>
      <c r="L49" s="76"/>
      <c r="M49" s="59">
        <v>780</v>
      </c>
      <c r="N49" s="59">
        <f>O49-M49</f>
        <v>-55</v>
      </c>
      <c r="O49" s="59">
        <v>725</v>
      </c>
      <c r="P49" s="59"/>
      <c r="Q49" s="59">
        <v>725</v>
      </c>
      <c r="R49" s="79"/>
      <c r="S49" s="79"/>
      <c r="T49" s="59">
        <f>O49+R49</f>
        <v>725</v>
      </c>
      <c r="U49" s="59">
        <f>Q49+S49</f>
        <v>725</v>
      </c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</row>
    <row r="50" spans="1:63" s="16" customFormat="1" ht="48.75" customHeight="1">
      <c r="A50" s="67" t="s">
        <v>227</v>
      </c>
      <c r="B50" s="68" t="s">
        <v>127</v>
      </c>
      <c r="C50" s="68" t="s">
        <v>142</v>
      </c>
      <c r="D50" s="69" t="s">
        <v>228</v>
      </c>
      <c r="E50" s="68"/>
      <c r="F50" s="59">
        <f aca="true" t="shared" si="15" ref="F50:U50">F51</f>
        <v>0</v>
      </c>
      <c r="G50" s="59">
        <f t="shared" si="15"/>
        <v>1896</v>
      </c>
      <c r="H50" s="59">
        <f t="shared" si="15"/>
        <v>1896</v>
      </c>
      <c r="I50" s="59">
        <f t="shared" si="15"/>
        <v>0</v>
      </c>
      <c r="J50" s="59">
        <f t="shared" si="15"/>
        <v>2035</v>
      </c>
      <c r="K50" s="59">
        <f t="shared" si="15"/>
        <v>0</v>
      </c>
      <c r="L50" s="59">
        <f t="shared" si="15"/>
        <v>0</v>
      </c>
      <c r="M50" s="59">
        <f t="shared" si="15"/>
        <v>2035</v>
      </c>
      <c r="N50" s="59">
        <f t="shared" si="15"/>
        <v>-320</v>
      </c>
      <c r="O50" s="59">
        <f t="shared" si="15"/>
        <v>1715</v>
      </c>
      <c r="P50" s="59">
        <f t="shared" si="15"/>
        <v>0</v>
      </c>
      <c r="Q50" s="59">
        <f t="shared" si="15"/>
        <v>1715</v>
      </c>
      <c r="R50" s="59">
        <f t="shared" si="15"/>
        <v>0</v>
      </c>
      <c r="S50" s="59">
        <f t="shared" si="15"/>
        <v>0</v>
      </c>
      <c r="T50" s="59">
        <f t="shared" si="15"/>
        <v>1715</v>
      </c>
      <c r="U50" s="59">
        <f t="shared" si="15"/>
        <v>1715</v>
      </c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</row>
    <row r="51" spans="1:63" s="16" customFormat="1" ht="22.5" customHeight="1">
      <c r="A51" s="67" t="s">
        <v>229</v>
      </c>
      <c r="B51" s="68" t="s">
        <v>127</v>
      </c>
      <c r="C51" s="68" t="s">
        <v>142</v>
      </c>
      <c r="D51" s="69" t="s">
        <v>228</v>
      </c>
      <c r="E51" s="68" t="s">
        <v>230</v>
      </c>
      <c r="F51" s="59"/>
      <c r="G51" s="59">
        <f>H51-F51</f>
        <v>1896</v>
      </c>
      <c r="H51" s="75">
        <v>1896</v>
      </c>
      <c r="I51" s="75"/>
      <c r="J51" s="75">
        <v>2035</v>
      </c>
      <c r="K51" s="75"/>
      <c r="L51" s="75"/>
      <c r="M51" s="59">
        <v>2035</v>
      </c>
      <c r="N51" s="59">
        <f>O51-M51</f>
        <v>-320</v>
      </c>
      <c r="O51" s="59">
        <v>1715</v>
      </c>
      <c r="P51" s="59"/>
      <c r="Q51" s="59">
        <v>1715</v>
      </c>
      <c r="R51" s="61"/>
      <c r="S51" s="61"/>
      <c r="T51" s="59">
        <f>O51+R51</f>
        <v>1715</v>
      </c>
      <c r="U51" s="59">
        <f>Q51+S51</f>
        <v>1715</v>
      </c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</row>
    <row r="52" spans="1:63" s="10" customFormat="1" ht="36.75" customHeight="1">
      <c r="A52" s="67" t="s">
        <v>26</v>
      </c>
      <c r="B52" s="68" t="s">
        <v>127</v>
      </c>
      <c r="C52" s="68" t="s">
        <v>142</v>
      </c>
      <c r="D52" s="69" t="s">
        <v>27</v>
      </c>
      <c r="E52" s="68"/>
      <c r="F52" s="59">
        <f>F53+F56</f>
        <v>59454</v>
      </c>
      <c r="G52" s="59">
        <f aca="true" t="shared" si="16" ref="G52:L52">G53+G56+G57</f>
        <v>117306</v>
      </c>
      <c r="H52" s="59">
        <f t="shared" si="16"/>
        <v>176760</v>
      </c>
      <c r="I52" s="59">
        <f t="shared" si="16"/>
        <v>0</v>
      </c>
      <c r="J52" s="59">
        <f t="shared" si="16"/>
        <v>105804</v>
      </c>
      <c r="K52" s="59">
        <f t="shared" si="16"/>
        <v>0</v>
      </c>
      <c r="L52" s="59">
        <f t="shared" si="16"/>
        <v>0</v>
      </c>
      <c r="M52" s="59">
        <f aca="true" t="shared" si="17" ref="M52:U52">M53+M54+M56+M57</f>
        <v>105804</v>
      </c>
      <c r="N52" s="59">
        <f t="shared" si="17"/>
        <v>193674</v>
      </c>
      <c r="O52" s="59">
        <f t="shared" si="17"/>
        <v>299478</v>
      </c>
      <c r="P52" s="59">
        <f t="shared" si="17"/>
        <v>0</v>
      </c>
      <c r="Q52" s="59">
        <f t="shared" si="17"/>
        <v>299206</v>
      </c>
      <c r="R52" s="59">
        <f t="shared" si="17"/>
        <v>0</v>
      </c>
      <c r="S52" s="59">
        <f t="shared" si="17"/>
        <v>0</v>
      </c>
      <c r="T52" s="59">
        <f t="shared" si="17"/>
        <v>299478</v>
      </c>
      <c r="U52" s="59">
        <f t="shared" si="17"/>
        <v>299206</v>
      </c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</row>
    <row r="53" spans="1:63" s="18" customFormat="1" ht="49.5" customHeight="1">
      <c r="A53" s="67" t="s">
        <v>137</v>
      </c>
      <c r="B53" s="68" t="s">
        <v>127</v>
      </c>
      <c r="C53" s="68" t="s">
        <v>142</v>
      </c>
      <c r="D53" s="69" t="s">
        <v>27</v>
      </c>
      <c r="E53" s="68" t="s">
        <v>138</v>
      </c>
      <c r="F53" s="59">
        <v>35454</v>
      </c>
      <c r="G53" s="59">
        <f>H53-F53</f>
        <v>24871</v>
      </c>
      <c r="H53" s="59">
        <f>10338+214+1202+30641+415+17515</f>
        <v>60325</v>
      </c>
      <c r="I53" s="59"/>
      <c r="J53" s="59">
        <f>11072+230+1287+31092+445+18960</f>
        <v>63086</v>
      </c>
      <c r="K53" s="73"/>
      <c r="L53" s="73"/>
      <c r="M53" s="59">
        <v>63086</v>
      </c>
      <c r="N53" s="59">
        <f>O53-M53</f>
        <v>200502</v>
      </c>
      <c r="O53" s="59">
        <f>353+10916+250+5766+246303</f>
        <v>263588</v>
      </c>
      <c r="P53" s="59"/>
      <c r="Q53" s="59">
        <f>353+10916+250+5766+246303</f>
        <v>263588</v>
      </c>
      <c r="R53" s="73"/>
      <c r="S53" s="73"/>
      <c r="T53" s="59">
        <f>O53+R53</f>
        <v>263588</v>
      </c>
      <c r="U53" s="59">
        <f>Q53+S53</f>
        <v>263588</v>
      </c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</row>
    <row r="54" spans="1:63" s="18" customFormat="1" ht="102.75" customHeight="1">
      <c r="A54" s="67" t="s">
        <v>279</v>
      </c>
      <c r="B54" s="68" t="s">
        <v>127</v>
      </c>
      <c r="C54" s="68" t="s">
        <v>142</v>
      </c>
      <c r="D54" s="69" t="s">
        <v>261</v>
      </c>
      <c r="E54" s="68"/>
      <c r="F54" s="59"/>
      <c r="G54" s="59"/>
      <c r="H54" s="59"/>
      <c r="I54" s="59"/>
      <c r="J54" s="59"/>
      <c r="K54" s="73"/>
      <c r="L54" s="73"/>
      <c r="M54" s="59">
        <f aca="true" t="shared" si="18" ref="M54:U54">M55</f>
        <v>0</v>
      </c>
      <c r="N54" s="59">
        <f t="shared" si="18"/>
        <v>2200</v>
      </c>
      <c r="O54" s="59">
        <f t="shared" si="18"/>
        <v>2200</v>
      </c>
      <c r="P54" s="59">
        <f t="shared" si="18"/>
        <v>0</v>
      </c>
      <c r="Q54" s="59">
        <f t="shared" si="18"/>
        <v>2380</v>
      </c>
      <c r="R54" s="59">
        <f t="shared" si="18"/>
        <v>0</v>
      </c>
      <c r="S54" s="59">
        <f t="shared" si="18"/>
        <v>0</v>
      </c>
      <c r="T54" s="59">
        <f t="shared" si="18"/>
        <v>2200</v>
      </c>
      <c r="U54" s="59">
        <f t="shared" si="18"/>
        <v>2380</v>
      </c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</row>
    <row r="55" spans="1:63" s="18" customFormat="1" ht="84.75" customHeight="1">
      <c r="A55" s="67" t="s">
        <v>257</v>
      </c>
      <c r="B55" s="68" t="s">
        <v>127</v>
      </c>
      <c r="C55" s="68" t="s">
        <v>142</v>
      </c>
      <c r="D55" s="69" t="s">
        <v>261</v>
      </c>
      <c r="E55" s="68" t="s">
        <v>143</v>
      </c>
      <c r="F55" s="59"/>
      <c r="G55" s="59"/>
      <c r="H55" s="59"/>
      <c r="I55" s="59"/>
      <c r="J55" s="59"/>
      <c r="K55" s="73"/>
      <c r="L55" s="73"/>
      <c r="M55" s="59"/>
      <c r="N55" s="59">
        <f>O55-M55</f>
        <v>2200</v>
      </c>
      <c r="O55" s="59">
        <v>2200</v>
      </c>
      <c r="P55" s="59"/>
      <c r="Q55" s="59">
        <v>2380</v>
      </c>
      <c r="R55" s="73"/>
      <c r="S55" s="73"/>
      <c r="T55" s="59">
        <f>O55+R55</f>
        <v>2200</v>
      </c>
      <c r="U55" s="59">
        <f>Q55+S55</f>
        <v>2380</v>
      </c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</row>
    <row r="56" spans="1:63" s="18" customFormat="1" ht="99.75" customHeight="1">
      <c r="A56" s="67" t="s">
        <v>144</v>
      </c>
      <c r="B56" s="68" t="s">
        <v>127</v>
      </c>
      <c r="C56" s="68" t="s">
        <v>142</v>
      </c>
      <c r="D56" s="69" t="s">
        <v>27</v>
      </c>
      <c r="E56" s="68" t="s">
        <v>145</v>
      </c>
      <c r="F56" s="59">
        <v>24000</v>
      </c>
      <c r="G56" s="59">
        <f>H56-F56</f>
        <v>30000</v>
      </c>
      <c r="H56" s="59">
        <v>54000</v>
      </c>
      <c r="I56" s="59"/>
      <c r="J56" s="59">
        <v>24000</v>
      </c>
      <c r="K56" s="73"/>
      <c r="L56" s="73"/>
      <c r="M56" s="59">
        <v>24000</v>
      </c>
      <c r="N56" s="59">
        <f>O56-M56</f>
        <v>9690</v>
      </c>
      <c r="O56" s="59">
        <f>24000+9690</f>
        <v>33690</v>
      </c>
      <c r="P56" s="59"/>
      <c r="Q56" s="59">
        <f>23548+9690</f>
        <v>33238</v>
      </c>
      <c r="R56" s="73"/>
      <c r="S56" s="73"/>
      <c r="T56" s="59">
        <f>O56+R56</f>
        <v>33690</v>
      </c>
      <c r="U56" s="59">
        <f>Q56+S56</f>
        <v>33238</v>
      </c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</row>
    <row r="57" spans="1:63" s="18" customFormat="1" ht="18" customHeight="1" hidden="1">
      <c r="A57" s="67" t="s">
        <v>229</v>
      </c>
      <c r="B57" s="68" t="s">
        <v>127</v>
      </c>
      <c r="C57" s="68" t="s">
        <v>142</v>
      </c>
      <c r="D57" s="69" t="s">
        <v>27</v>
      </c>
      <c r="E57" s="68" t="s">
        <v>230</v>
      </c>
      <c r="F57" s="59"/>
      <c r="G57" s="59">
        <f>H57-F57</f>
        <v>62435</v>
      </c>
      <c r="H57" s="59">
        <v>62435</v>
      </c>
      <c r="I57" s="59"/>
      <c r="J57" s="59">
        <v>18718</v>
      </c>
      <c r="K57" s="73"/>
      <c r="L57" s="73"/>
      <c r="M57" s="59">
        <v>18718</v>
      </c>
      <c r="N57" s="59">
        <f>O57-M57</f>
        <v>-18718</v>
      </c>
      <c r="O57" s="59"/>
      <c r="P57" s="59"/>
      <c r="Q57" s="59"/>
      <c r="R57" s="73"/>
      <c r="S57" s="73"/>
      <c r="T57" s="73"/>
      <c r="U57" s="73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</row>
    <row r="58" spans="1:63" s="18" customFormat="1" ht="31.5" customHeight="1">
      <c r="A58" s="67" t="s">
        <v>121</v>
      </c>
      <c r="B58" s="68" t="s">
        <v>127</v>
      </c>
      <c r="C58" s="68" t="s">
        <v>142</v>
      </c>
      <c r="D58" s="69" t="s">
        <v>122</v>
      </c>
      <c r="E58" s="68"/>
      <c r="F58" s="59">
        <f aca="true" t="shared" si="19" ref="F58:M58">F59</f>
        <v>7458</v>
      </c>
      <c r="G58" s="59">
        <f t="shared" si="19"/>
        <v>16639</v>
      </c>
      <c r="H58" s="59">
        <f t="shared" si="19"/>
        <v>24097</v>
      </c>
      <c r="I58" s="59">
        <f t="shared" si="19"/>
        <v>0</v>
      </c>
      <c r="J58" s="59">
        <f t="shared" si="19"/>
        <v>22421</v>
      </c>
      <c r="K58" s="59">
        <f t="shared" si="19"/>
        <v>0</v>
      </c>
      <c r="L58" s="59">
        <f t="shared" si="19"/>
        <v>0</v>
      </c>
      <c r="M58" s="59">
        <f t="shared" si="19"/>
        <v>22421</v>
      </c>
      <c r="N58" s="59">
        <f aca="true" t="shared" si="20" ref="N58:U58">N59+N60+N63</f>
        <v>-15232</v>
      </c>
      <c r="O58" s="59">
        <f t="shared" si="20"/>
        <v>7189</v>
      </c>
      <c r="P58" s="59">
        <f t="shared" si="20"/>
        <v>0</v>
      </c>
      <c r="Q58" s="59">
        <f t="shared" si="20"/>
        <v>7179</v>
      </c>
      <c r="R58" s="59">
        <f t="shared" si="20"/>
        <v>0</v>
      </c>
      <c r="S58" s="59">
        <f t="shared" si="20"/>
        <v>0</v>
      </c>
      <c r="T58" s="59">
        <f t="shared" si="20"/>
        <v>7189</v>
      </c>
      <c r="U58" s="59">
        <f t="shared" si="20"/>
        <v>7179</v>
      </c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</row>
    <row r="59" spans="1:63" s="18" customFormat="1" ht="3.75" customHeight="1" hidden="1">
      <c r="A59" s="67" t="s">
        <v>137</v>
      </c>
      <c r="B59" s="68" t="s">
        <v>127</v>
      </c>
      <c r="C59" s="68" t="s">
        <v>142</v>
      </c>
      <c r="D59" s="69" t="s">
        <v>122</v>
      </c>
      <c r="E59" s="68" t="s">
        <v>138</v>
      </c>
      <c r="F59" s="59">
        <v>7458</v>
      </c>
      <c r="G59" s="59">
        <f>H59-F59</f>
        <v>16639</v>
      </c>
      <c r="H59" s="59">
        <f>4179+19918</f>
        <v>24097</v>
      </c>
      <c r="I59" s="59"/>
      <c r="J59" s="59">
        <f>4179+18242</f>
        <v>22421</v>
      </c>
      <c r="K59" s="73"/>
      <c r="L59" s="73"/>
      <c r="M59" s="59">
        <v>22421</v>
      </c>
      <c r="N59" s="59">
        <f>O59-M59</f>
        <v>-22421</v>
      </c>
      <c r="O59" s="59"/>
      <c r="P59" s="59"/>
      <c r="Q59" s="59"/>
      <c r="R59" s="59"/>
      <c r="S59" s="59"/>
      <c r="T59" s="59"/>
      <c r="U59" s="59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</row>
    <row r="60" spans="1:63" s="18" customFormat="1" ht="71.25" customHeight="1">
      <c r="A60" s="86" t="s">
        <v>309</v>
      </c>
      <c r="B60" s="68" t="s">
        <v>127</v>
      </c>
      <c r="C60" s="68" t="s">
        <v>142</v>
      </c>
      <c r="D60" s="69" t="s">
        <v>289</v>
      </c>
      <c r="E60" s="68"/>
      <c r="F60" s="59"/>
      <c r="G60" s="59"/>
      <c r="H60" s="59"/>
      <c r="I60" s="59"/>
      <c r="J60" s="59"/>
      <c r="K60" s="73"/>
      <c r="L60" s="73"/>
      <c r="M60" s="59"/>
      <c r="N60" s="59">
        <f aca="true" t="shared" si="21" ref="N60:U61">N61</f>
        <v>7179</v>
      </c>
      <c r="O60" s="59">
        <f t="shared" si="21"/>
        <v>7179</v>
      </c>
      <c r="P60" s="59">
        <f t="shared" si="21"/>
        <v>0</v>
      </c>
      <c r="Q60" s="59">
        <f t="shared" si="21"/>
        <v>7179</v>
      </c>
      <c r="R60" s="59">
        <f t="shared" si="21"/>
        <v>0</v>
      </c>
      <c r="S60" s="59">
        <f t="shared" si="21"/>
        <v>0</v>
      </c>
      <c r="T60" s="59">
        <f t="shared" si="21"/>
        <v>7179</v>
      </c>
      <c r="U60" s="59">
        <f t="shared" si="21"/>
        <v>7179</v>
      </c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</row>
    <row r="61" spans="1:63" s="18" customFormat="1" ht="84" customHeight="1">
      <c r="A61" s="86" t="s">
        <v>310</v>
      </c>
      <c r="B61" s="68" t="s">
        <v>127</v>
      </c>
      <c r="C61" s="68" t="s">
        <v>142</v>
      </c>
      <c r="D61" s="69" t="s">
        <v>290</v>
      </c>
      <c r="E61" s="68"/>
      <c r="F61" s="59"/>
      <c r="G61" s="59"/>
      <c r="H61" s="59"/>
      <c r="I61" s="59"/>
      <c r="J61" s="59"/>
      <c r="K61" s="73"/>
      <c r="L61" s="73"/>
      <c r="M61" s="59"/>
      <c r="N61" s="59">
        <f t="shared" si="21"/>
        <v>7179</v>
      </c>
      <c r="O61" s="59">
        <f t="shared" si="21"/>
        <v>7179</v>
      </c>
      <c r="P61" s="59">
        <f t="shared" si="21"/>
        <v>0</v>
      </c>
      <c r="Q61" s="59">
        <f t="shared" si="21"/>
        <v>7179</v>
      </c>
      <c r="R61" s="59">
        <f t="shared" si="21"/>
        <v>0</v>
      </c>
      <c r="S61" s="59">
        <f t="shared" si="21"/>
        <v>0</v>
      </c>
      <c r="T61" s="59">
        <f t="shared" si="21"/>
        <v>7179</v>
      </c>
      <c r="U61" s="59">
        <f t="shared" si="21"/>
        <v>7179</v>
      </c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</row>
    <row r="62" spans="1:63" s="18" customFormat="1" ht="61.5" customHeight="1">
      <c r="A62" s="67" t="s">
        <v>137</v>
      </c>
      <c r="B62" s="68" t="s">
        <v>127</v>
      </c>
      <c r="C62" s="68" t="s">
        <v>142</v>
      </c>
      <c r="D62" s="69" t="s">
        <v>290</v>
      </c>
      <c r="E62" s="68" t="s">
        <v>138</v>
      </c>
      <c r="F62" s="59"/>
      <c r="G62" s="59"/>
      <c r="H62" s="59"/>
      <c r="I62" s="59"/>
      <c r="J62" s="59"/>
      <c r="K62" s="73"/>
      <c r="L62" s="73"/>
      <c r="M62" s="59"/>
      <c r="N62" s="59">
        <f>O62-M62</f>
        <v>7179</v>
      </c>
      <c r="O62" s="59">
        <v>7179</v>
      </c>
      <c r="P62" s="59"/>
      <c r="Q62" s="59">
        <v>7179</v>
      </c>
      <c r="R62" s="73"/>
      <c r="S62" s="73"/>
      <c r="T62" s="59">
        <f>O62+R62</f>
        <v>7179</v>
      </c>
      <c r="U62" s="59">
        <f>Q62+S62</f>
        <v>7179</v>
      </c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</row>
    <row r="63" spans="1:63" s="18" customFormat="1" ht="36" customHeight="1">
      <c r="A63" s="67" t="s">
        <v>311</v>
      </c>
      <c r="B63" s="68" t="s">
        <v>127</v>
      </c>
      <c r="C63" s="68" t="s">
        <v>142</v>
      </c>
      <c r="D63" s="69" t="s">
        <v>287</v>
      </c>
      <c r="E63" s="68"/>
      <c r="F63" s="59"/>
      <c r="G63" s="59"/>
      <c r="H63" s="59"/>
      <c r="I63" s="59"/>
      <c r="J63" s="59"/>
      <c r="K63" s="73"/>
      <c r="L63" s="73"/>
      <c r="M63" s="59"/>
      <c r="N63" s="59">
        <f aca="true" t="shared" si="22" ref="N63:U64">N64</f>
        <v>10</v>
      </c>
      <c r="O63" s="59">
        <f t="shared" si="22"/>
        <v>10</v>
      </c>
      <c r="P63" s="59">
        <f t="shared" si="22"/>
        <v>0</v>
      </c>
      <c r="Q63" s="59">
        <f t="shared" si="22"/>
        <v>0</v>
      </c>
      <c r="R63" s="59">
        <f t="shared" si="22"/>
        <v>0</v>
      </c>
      <c r="S63" s="59">
        <f t="shared" si="22"/>
        <v>0</v>
      </c>
      <c r="T63" s="59">
        <f t="shared" si="22"/>
        <v>10</v>
      </c>
      <c r="U63" s="59">
        <f t="shared" si="22"/>
        <v>0</v>
      </c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</row>
    <row r="64" spans="1:63" s="18" customFormat="1" ht="56.25" customHeight="1">
      <c r="A64" s="67" t="s">
        <v>312</v>
      </c>
      <c r="B64" s="68" t="s">
        <v>127</v>
      </c>
      <c r="C64" s="68" t="s">
        <v>142</v>
      </c>
      <c r="D64" s="69" t="s">
        <v>288</v>
      </c>
      <c r="E64" s="68"/>
      <c r="F64" s="59"/>
      <c r="G64" s="59"/>
      <c r="H64" s="59"/>
      <c r="I64" s="59"/>
      <c r="J64" s="59"/>
      <c r="K64" s="73"/>
      <c r="L64" s="73"/>
      <c r="M64" s="59"/>
      <c r="N64" s="59">
        <f t="shared" si="22"/>
        <v>10</v>
      </c>
      <c r="O64" s="59">
        <f t="shared" si="22"/>
        <v>10</v>
      </c>
      <c r="P64" s="59">
        <f t="shared" si="22"/>
        <v>0</v>
      </c>
      <c r="Q64" s="59">
        <f t="shared" si="22"/>
        <v>0</v>
      </c>
      <c r="R64" s="59">
        <f t="shared" si="22"/>
        <v>0</v>
      </c>
      <c r="S64" s="59">
        <f t="shared" si="22"/>
        <v>0</v>
      </c>
      <c r="T64" s="59">
        <f t="shared" si="22"/>
        <v>10</v>
      </c>
      <c r="U64" s="59">
        <f t="shared" si="22"/>
        <v>0</v>
      </c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</row>
    <row r="65" spans="1:63" s="18" customFormat="1" ht="61.5" customHeight="1">
      <c r="A65" s="67" t="s">
        <v>137</v>
      </c>
      <c r="B65" s="68" t="s">
        <v>127</v>
      </c>
      <c r="C65" s="68" t="s">
        <v>142</v>
      </c>
      <c r="D65" s="69" t="s">
        <v>288</v>
      </c>
      <c r="E65" s="68" t="s">
        <v>138</v>
      </c>
      <c r="F65" s="59"/>
      <c r="G65" s="59"/>
      <c r="H65" s="59"/>
      <c r="I65" s="59"/>
      <c r="J65" s="59"/>
      <c r="K65" s="73"/>
      <c r="L65" s="73"/>
      <c r="M65" s="59"/>
      <c r="N65" s="59">
        <f>O65-M65</f>
        <v>10</v>
      </c>
      <c r="O65" s="59">
        <v>10</v>
      </c>
      <c r="P65" s="59"/>
      <c r="Q65" s="59"/>
      <c r="R65" s="73"/>
      <c r="S65" s="73"/>
      <c r="T65" s="59">
        <f>O65+R65</f>
        <v>10</v>
      </c>
      <c r="U65" s="59">
        <f>Q65+S65</f>
        <v>0</v>
      </c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</row>
    <row r="66" spans="1:21" ht="2.25" customHeight="1">
      <c r="A66" s="83"/>
      <c r="B66" s="84"/>
      <c r="C66" s="84"/>
      <c r="D66" s="85"/>
      <c r="E66" s="84"/>
      <c r="F66" s="45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1:64" s="8" customFormat="1" ht="81">
      <c r="A67" s="48" t="s">
        <v>28</v>
      </c>
      <c r="B67" s="49" t="s">
        <v>29</v>
      </c>
      <c r="C67" s="49"/>
      <c r="D67" s="50"/>
      <c r="E67" s="49"/>
      <c r="F67" s="87">
        <f aca="true" t="shared" si="23" ref="F67:O67">F69+F73</f>
        <v>67236</v>
      </c>
      <c r="G67" s="87">
        <f t="shared" si="23"/>
        <v>30520</v>
      </c>
      <c r="H67" s="87">
        <f t="shared" si="23"/>
        <v>97756</v>
      </c>
      <c r="I67" s="87">
        <f t="shared" si="23"/>
        <v>0</v>
      </c>
      <c r="J67" s="87">
        <f t="shared" si="23"/>
        <v>104920</v>
      </c>
      <c r="K67" s="87">
        <f t="shared" si="23"/>
        <v>0</v>
      </c>
      <c r="L67" s="87">
        <f t="shared" si="23"/>
        <v>0</v>
      </c>
      <c r="M67" s="87">
        <f t="shared" si="23"/>
        <v>104920</v>
      </c>
      <c r="N67" s="87">
        <f t="shared" si="23"/>
        <v>-38961</v>
      </c>
      <c r="O67" s="87">
        <f t="shared" si="23"/>
        <v>65959</v>
      </c>
      <c r="P67" s="87">
        <f aca="true" t="shared" si="24" ref="P67:U67">P69+P73</f>
        <v>0</v>
      </c>
      <c r="Q67" s="87">
        <f t="shared" si="24"/>
        <v>65959</v>
      </c>
      <c r="R67" s="87">
        <f t="shared" si="24"/>
        <v>0</v>
      </c>
      <c r="S67" s="87">
        <f t="shared" si="24"/>
        <v>0</v>
      </c>
      <c r="T67" s="87">
        <f t="shared" si="24"/>
        <v>65959</v>
      </c>
      <c r="U67" s="87">
        <f t="shared" si="24"/>
        <v>65959</v>
      </c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</row>
    <row r="68" spans="1:64" s="8" customFormat="1" ht="20.25">
      <c r="A68" s="48"/>
      <c r="B68" s="49"/>
      <c r="C68" s="49"/>
      <c r="D68" s="50"/>
      <c r="E68" s="49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</row>
    <row r="69" spans="1:64" s="12" customFormat="1" ht="18.75">
      <c r="A69" s="53" t="s">
        <v>30</v>
      </c>
      <c r="B69" s="54" t="s">
        <v>132</v>
      </c>
      <c r="C69" s="54" t="s">
        <v>128</v>
      </c>
      <c r="D69" s="65"/>
      <c r="E69" s="54"/>
      <c r="F69" s="56">
        <f aca="true" t="shared" si="25" ref="F69:U70">F70</f>
        <v>28197</v>
      </c>
      <c r="G69" s="56">
        <f t="shared" si="25"/>
        <v>22120</v>
      </c>
      <c r="H69" s="56">
        <f t="shared" si="25"/>
        <v>50317</v>
      </c>
      <c r="I69" s="56">
        <f t="shared" si="25"/>
        <v>0</v>
      </c>
      <c r="J69" s="56">
        <f t="shared" si="25"/>
        <v>53980</v>
      </c>
      <c r="K69" s="56">
        <f t="shared" si="25"/>
        <v>0</v>
      </c>
      <c r="L69" s="56">
        <f t="shared" si="25"/>
        <v>0</v>
      </c>
      <c r="M69" s="56">
        <f t="shared" si="25"/>
        <v>53980</v>
      </c>
      <c r="N69" s="56">
        <f t="shared" si="25"/>
        <v>-29313</v>
      </c>
      <c r="O69" s="56">
        <f t="shared" si="25"/>
        <v>24667</v>
      </c>
      <c r="P69" s="56">
        <f t="shared" si="25"/>
        <v>0</v>
      </c>
      <c r="Q69" s="56">
        <f t="shared" si="25"/>
        <v>24667</v>
      </c>
      <c r="R69" s="56">
        <f t="shared" si="25"/>
        <v>0</v>
      </c>
      <c r="S69" s="56">
        <f t="shared" si="25"/>
        <v>0</v>
      </c>
      <c r="T69" s="56">
        <f t="shared" si="25"/>
        <v>24667</v>
      </c>
      <c r="U69" s="56">
        <f t="shared" si="25"/>
        <v>24667</v>
      </c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</row>
    <row r="70" spans="1:63" s="14" customFormat="1" ht="24.75" customHeight="1">
      <c r="A70" s="67" t="s">
        <v>31</v>
      </c>
      <c r="B70" s="68" t="s">
        <v>132</v>
      </c>
      <c r="C70" s="68" t="s">
        <v>128</v>
      </c>
      <c r="D70" s="69" t="s">
        <v>32</v>
      </c>
      <c r="E70" s="68"/>
      <c r="F70" s="59">
        <f t="shared" si="25"/>
        <v>28197</v>
      </c>
      <c r="G70" s="59">
        <f t="shared" si="25"/>
        <v>22120</v>
      </c>
      <c r="H70" s="59">
        <f t="shared" si="25"/>
        <v>50317</v>
      </c>
      <c r="I70" s="59">
        <f t="shared" si="25"/>
        <v>0</v>
      </c>
      <c r="J70" s="59">
        <f t="shared" si="25"/>
        <v>53980</v>
      </c>
      <c r="K70" s="59">
        <f t="shared" si="25"/>
        <v>0</v>
      </c>
      <c r="L70" s="59">
        <f t="shared" si="25"/>
        <v>0</v>
      </c>
      <c r="M70" s="59">
        <f t="shared" si="25"/>
        <v>53980</v>
      </c>
      <c r="N70" s="59">
        <f t="shared" si="25"/>
        <v>-29313</v>
      </c>
      <c r="O70" s="59">
        <f t="shared" si="25"/>
        <v>24667</v>
      </c>
      <c r="P70" s="59">
        <f t="shared" si="25"/>
        <v>0</v>
      </c>
      <c r="Q70" s="59">
        <f t="shared" si="25"/>
        <v>24667</v>
      </c>
      <c r="R70" s="59">
        <f t="shared" si="25"/>
        <v>0</v>
      </c>
      <c r="S70" s="59">
        <f t="shared" si="25"/>
        <v>0</v>
      </c>
      <c r="T70" s="59">
        <f t="shared" si="25"/>
        <v>24667</v>
      </c>
      <c r="U70" s="59">
        <f t="shared" si="25"/>
        <v>24667</v>
      </c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</row>
    <row r="71" spans="1:63" s="16" customFormat="1" ht="36" customHeight="1">
      <c r="A71" s="67" t="s">
        <v>129</v>
      </c>
      <c r="B71" s="68" t="s">
        <v>132</v>
      </c>
      <c r="C71" s="68" t="s">
        <v>128</v>
      </c>
      <c r="D71" s="69" t="s">
        <v>32</v>
      </c>
      <c r="E71" s="68" t="s">
        <v>130</v>
      </c>
      <c r="F71" s="59">
        <v>28197</v>
      </c>
      <c r="G71" s="59">
        <f>H71-F71</f>
        <v>22120</v>
      </c>
      <c r="H71" s="59">
        <v>50317</v>
      </c>
      <c r="I71" s="59"/>
      <c r="J71" s="59">
        <v>53980</v>
      </c>
      <c r="K71" s="61"/>
      <c r="L71" s="61"/>
      <c r="M71" s="59">
        <v>53980</v>
      </c>
      <c r="N71" s="59">
        <f>O71-M71</f>
        <v>-29313</v>
      </c>
      <c r="O71" s="59">
        <v>24667</v>
      </c>
      <c r="P71" s="59"/>
      <c r="Q71" s="59">
        <v>24667</v>
      </c>
      <c r="R71" s="61"/>
      <c r="S71" s="61"/>
      <c r="T71" s="59">
        <f>O71+R71</f>
        <v>24667</v>
      </c>
      <c r="U71" s="59">
        <f>Q71+S71</f>
        <v>24667</v>
      </c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</row>
    <row r="72" spans="1:63" s="16" customFormat="1" ht="16.5">
      <c r="A72" s="67"/>
      <c r="B72" s="68"/>
      <c r="C72" s="68"/>
      <c r="D72" s="69"/>
      <c r="E72" s="68"/>
      <c r="F72" s="88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</row>
    <row r="73" spans="1:21" ht="75">
      <c r="A73" s="53" t="s">
        <v>176</v>
      </c>
      <c r="B73" s="54" t="s">
        <v>132</v>
      </c>
      <c r="C73" s="54" t="s">
        <v>146</v>
      </c>
      <c r="D73" s="65"/>
      <c r="E73" s="54"/>
      <c r="F73" s="56">
        <f aca="true" t="shared" si="26" ref="F73:U74">F74</f>
        <v>39039</v>
      </c>
      <c r="G73" s="56">
        <f aca="true" t="shared" si="27" ref="G73:O73">G74+G76</f>
        <v>8400</v>
      </c>
      <c r="H73" s="56">
        <f t="shared" si="27"/>
        <v>47439</v>
      </c>
      <c r="I73" s="56">
        <f t="shared" si="27"/>
        <v>0</v>
      </c>
      <c r="J73" s="56">
        <f t="shared" si="27"/>
        <v>50940</v>
      </c>
      <c r="K73" s="56">
        <f t="shared" si="27"/>
        <v>0</v>
      </c>
      <c r="L73" s="56">
        <f t="shared" si="27"/>
        <v>0</v>
      </c>
      <c r="M73" s="56">
        <f t="shared" si="27"/>
        <v>50940</v>
      </c>
      <c r="N73" s="56">
        <f t="shared" si="27"/>
        <v>-9648</v>
      </c>
      <c r="O73" s="56">
        <f t="shared" si="27"/>
        <v>41292</v>
      </c>
      <c r="P73" s="56">
        <f aca="true" t="shared" si="28" ref="P73:U73">P74+P76</f>
        <v>0</v>
      </c>
      <c r="Q73" s="56">
        <f t="shared" si="28"/>
        <v>41292</v>
      </c>
      <c r="R73" s="56">
        <f t="shared" si="28"/>
        <v>0</v>
      </c>
      <c r="S73" s="56">
        <f t="shared" si="28"/>
        <v>0</v>
      </c>
      <c r="T73" s="56">
        <f t="shared" si="28"/>
        <v>41292</v>
      </c>
      <c r="U73" s="56">
        <f t="shared" si="28"/>
        <v>41292</v>
      </c>
    </row>
    <row r="74" spans="1:21" ht="23.25" customHeight="1">
      <c r="A74" s="67" t="s">
        <v>33</v>
      </c>
      <c r="B74" s="68" t="s">
        <v>132</v>
      </c>
      <c r="C74" s="68" t="s">
        <v>146</v>
      </c>
      <c r="D74" s="69" t="s">
        <v>34</v>
      </c>
      <c r="E74" s="68"/>
      <c r="F74" s="59">
        <f t="shared" si="26"/>
        <v>39039</v>
      </c>
      <c r="G74" s="59">
        <f t="shared" si="26"/>
        <v>8286</v>
      </c>
      <c r="H74" s="59">
        <f t="shared" si="26"/>
        <v>47325</v>
      </c>
      <c r="I74" s="59">
        <f t="shared" si="26"/>
        <v>0</v>
      </c>
      <c r="J74" s="59">
        <f t="shared" si="26"/>
        <v>50839</v>
      </c>
      <c r="K74" s="59">
        <f t="shared" si="26"/>
        <v>0</v>
      </c>
      <c r="L74" s="59">
        <f t="shared" si="26"/>
        <v>0</v>
      </c>
      <c r="M74" s="59">
        <f t="shared" si="26"/>
        <v>50839</v>
      </c>
      <c r="N74" s="59">
        <f t="shared" si="26"/>
        <v>-9648</v>
      </c>
      <c r="O74" s="59">
        <f t="shared" si="26"/>
        <v>41191</v>
      </c>
      <c r="P74" s="59">
        <f t="shared" si="26"/>
        <v>0</v>
      </c>
      <c r="Q74" s="59">
        <f t="shared" si="26"/>
        <v>41292</v>
      </c>
      <c r="R74" s="59">
        <f t="shared" si="26"/>
        <v>0</v>
      </c>
      <c r="S74" s="59">
        <f t="shared" si="26"/>
        <v>0</v>
      </c>
      <c r="T74" s="59">
        <f t="shared" si="26"/>
        <v>41191</v>
      </c>
      <c r="U74" s="59">
        <f t="shared" si="26"/>
        <v>41292</v>
      </c>
    </row>
    <row r="75" spans="1:21" ht="37.5" customHeight="1">
      <c r="A75" s="67" t="s">
        <v>129</v>
      </c>
      <c r="B75" s="68" t="s">
        <v>132</v>
      </c>
      <c r="C75" s="68" t="s">
        <v>146</v>
      </c>
      <c r="D75" s="69" t="s">
        <v>34</v>
      </c>
      <c r="E75" s="68" t="s">
        <v>130</v>
      </c>
      <c r="F75" s="59">
        <v>39039</v>
      </c>
      <c r="G75" s="59">
        <f>H75-F75</f>
        <v>8286</v>
      </c>
      <c r="H75" s="59">
        <f>47439-114</f>
        <v>47325</v>
      </c>
      <c r="I75" s="59"/>
      <c r="J75" s="59">
        <v>50839</v>
      </c>
      <c r="K75" s="47"/>
      <c r="L75" s="47"/>
      <c r="M75" s="59">
        <v>50839</v>
      </c>
      <c r="N75" s="59">
        <f>O75-M75</f>
        <v>-9648</v>
      </c>
      <c r="O75" s="59">
        <v>41191</v>
      </c>
      <c r="P75" s="59"/>
      <c r="Q75" s="59">
        <v>41292</v>
      </c>
      <c r="R75" s="47"/>
      <c r="S75" s="47"/>
      <c r="T75" s="59">
        <f>O75+R75</f>
        <v>41191</v>
      </c>
      <c r="U75" s="59">
        <f>Q75+S75</f>
        <v>41292</v>
      </c>
    </row>
    <row r="76" spans="1:21" ht="28.5" customHeight="1">
      <c r="A76" s="67" t="s">
        <v>121</v>
      </c>
      <c r="B76" s="68" t="s">
        <v>132</v>
      </c>
      <c r="C76" s="68" t="s">
        <v>146</v>
      </c>
      <c r="D76" s="69" t="s">
        <v>122</v>
      </c>
      <c r="E76" s="68"/>
      <c r="F76" s="59"/>
      <c r="G76" s="59">
        <f aca="true" t="shared" si="29" ref="G76:M76">G77</f>
        <v>114</v>
      </c>
      <c r="H76" s="59">
        <f t="shared" si="29"/>
        <v>114</v>
      </c>
      <c r="I76" s="59">
        <f t="shared" si="29"/>
        <v>0</v>
      </c>
      <c r="J76" s="59">
        <f t="shared" si="29"/>
        <v>101</v>
      </c>
      <c r="K76" s="59">
        <f t="shared" si="29"/>
        <v>0</v>
      </c>
      <c r="L76" s="59">
        <f t="shared" si="29"/>
        <v>0</v>
      </c>
      <c r="M76" s="59">
        <f t="shared" si="29"/>
        <v>101</v>
      </c>
      <c r="N76" s="59">
        <f>N77+N78</f>
        <v>0</v>
      </c>
      <c r="O76" s="59">
        <f>O77+O78</f>
        <v>101</v>
      </c>
      <c r="P76" s="59">
        <f aca="true" t="shared" si="30" ref="P76:U76">P77+P78</f>
        <v>0</v>
      </c>
      <c r="Q76" s="59">
        <f t="shared" si="30"/>
        <v>0</v>
      </c>
      <c r="R76" s="59">
        <f t="shared" si="30"/>
        <v>0</v>
      </c>
      <c r="S76" s="59">
        <f t="shared" si="30"/>
        <v>0</v>
      </c>
      <c r="T76" s="59">
        <f t="shared" si="30"/>
        <v>101</v>
      </c>
      <c r="U76" s="59">
        <f t="shared" si="30"/>
        <v>0</v>
      </c>
    </row>
    <row r="77" spans="1:21" ht="50.25" customHeight="1" hidden="1">
      <c r="A77" s="67" t="s">
        <v>137</v>
      </c>
      <c r="B77" s="68" t="s">
        <v>132</v>
      </c>
      <c r="C77" s="68" t="s">
        <v>146</v>
      </c>
      <c r="D77" s="69" t="s">
        <v>122</v>
      </c>
      <c r="E77" s="68" t="s">
        <v>138</v>
      </c>
      <c r="F77" s="59"/>
      <c r="G77" s="59">
        <f>H77-F77</f>
        <v>114</v>
      </c>
      <c r="H77" s="59">
        <v>114</v>
      </c>
      <c r="I77" s="59"/>
      <c r="J77" s="59">
        <v>101</v>
      </c>
      <c r="K77" s="47"/>
      <c r="L77" s="47"/>
      <c r="M77" s="59">
        <v>101</v>
      </c>
      <c r="N77" s="59">
        <f>O77-M77</f>
        <v>-101</v>
      </c>
      <c r="O77" s="59"/>
      <c r="P77" s="59"/>
      <c r="Q77" s="59"/>
      <c r="R77" s="59"/>
      <c r="S77" s="59"/>
      <c r="T77" s="59"/>
      <c r="U77" s="59"/>
    </row>
    <row r="78" spans="1:21" ht="36.75" customHeight="1">
      <c r="A78" s="67" t="s">
        <v>311</v>
      </c>
      <c r="B78" s="68" t="s">
        <v>132</v>
      </c>
      <c r="C78" s="68" t="s">
        <v>146</v>
      </c>
      <c r="D78" s="69" t="s">
        <v>287</v>
      </c>
      <c r="E78" s="68"/>
      <c r="F78" s="59"/>
      <c r="G78" s="59"/>
      <c r="H78" s="59"/>
      <c r="I78" s="59"/>
      <c r="J78" s="59"/>
      <c r="K78" s="47"/>
      <c r="L78" s="47"/>
      <c r="M78" s="59"/>
      <c r="N78" s="59">
        <f aca="true" t="shared" si="31" ref="N78:U79">N79</f>
        <v>101</v>
      </c>
      <c r="O78" s="59">
        <f t="shared" si="31"/>
        <v>101</v>
      </c>
      <c r="P78" s="59">
        <f t="shared" si="31"/>
        <v>0</v>
      </c>
      <c r="Q78" s="59">
        <f t="shared" si="31"/>
        <v>0</v>
      </c>
      <c r="R78" s="59">
        <f t="shared" si="31"/>
        <v>0</v>
      </c>
      <c r="S78" s="59">
        <f t="shared" si="31"/>
        <v>0</v>
      </c>
      <c r="T78" s="59">
        <f t="shared" si="31"/>
        <v>101</v>
      </c>
      <c r="U78" s="59">
        <f t="shared" si="31"/>
        <v>0</v>
      </c>
    </row>
    <row r="79" spans="1:21" ht="50.25" customHeight="1">
      <c r="A79" s="67" t="s">
        <v>312</v>
      </c>
      <c r="B79" s="68" t="s">
        <v>132</v>
      </c>
      <c r="C79" s="68" t="s">
        <v>146</v>
      </c>
      <c r="D79" s="69" t="s">
        <v>288</v>
      </c>
      <c r="E79" s="68"/>
      <c r="F79" s="59"/>
      <c r="G79" s="59"/>
      <c r="H79" s="59"/>
      <c r="I79" s="59"/>
      <c r="J79" s="59"/>
      <c r="K79" s="47"/>
      <c r="L79" s="47"/>
      <c r="M79" s="59"/>
      <c r="N79" s="59">
        <f t="shared" si="31"/>
        <v>101</v>
      </c>
      <c r="O79" s="59">
        <f t="shared" si="31"/>
        <v>101</v>
      </c>
      <c r="P79" s="59">
        <f t="shared" si="31"/>
        <v>0</v>
      </c>
      <c r="Q79" s="59">
        <f t="shared" si="31"/>
        <v>0</v>
      </c>
      <c r="R79" s="59">
        <f t="shared" si="31"/>
        <v>0</v>
      </c>
      <c r="S79" s="59">
        <f t="shared" si="31"/>
        <v>0</v>
      </c>
      <c r="T79" s="59">
        <f t="shared" si="31"/>
        <v>101</v>
      </c>
      <c r="U79" s="59">
        <f t="shared" si="31"/>
        <v>0</v>
      </c>
    </row>
    <row r="80" spans="1:21" ht="50.25" customHeight="1">
      <c r="A80" s="67" t="s">
        <v>137</v>
      </c>
      <c r="B80" s="68" t="s">
        <v>132</v>
      </c>
      <c r="C80" s="68" t="s">
        <v>146</v>
      </c>
      <c r="D80" s="69" t="s">
        <v>288</v>
      </c>
      <c r="E80" s="68" t="s">
        <v>138</v>
      </c>
      <c r="F80" s="59"/>
      <c r="G80" s="59"/>
      <c r="H80" s="59"/>
      <c r="I80" s="59"/>
      <c r="J80" s="59"/>
      <c r="K80" s="47"/>
      <c r="L80" s="47"/>
      <c r="M80" s="59"/>
      <c r="N80" s="59">
        <f>O80-M80</f>
        <v>101</v>
      </c>
      <c r="O80" s="59">
        <v>101</v>
      </c>
      <c r="P80" s="59"/>
      <c r="Q80" s="59"/>
      <c r="R80" s="47"/>
      <c r="S80" s="47"/>
      <c r="T80" s="59">
        <f>O80+R80</f>
        <v>101</v>
      </c>
      <c r="U80" s="59">
        <f>Q80+S80</f>
        <v>0</v>
      </c>
    </row>
    <row r="81" spans="1:21" ht="15">
      <c r="A81" s="89"/>
      <c r="B81" s="84"/>
      <c r="C81" s="84"/>
      <c r="D81" s="85"/>
      <c r="E81" s="84"/>
      <c r="F81" s="45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</row>
    <row r="82" spans="1:63" s="8" customFormat="1" ht="28.5" customHeight="1">
      <c r="A82" s="48" t="s">
        <v>35</v>
      </c>
      <c r="B82" s="49" t="s">
        <v>36</v>
      </c>
      <c r="C82" s="49"/>
      <c r="D82" s="50"/>
      <c r="E82" s="49"/>
      <c r="F82" s="87">
        <f aca="true" t="shared" si="32" ref="F82:Q82">F84+F88+F92+F107+F113+F117</f>
        <v>414584</v>
      </c>
      <c r="G82" s="87">
        <f t="shared" si="32"/>
        <v>93477</v>
      </c>
      <c r="H82" s="87">
        <f t="shared" si="32"/>
        <v>508061</v>
      </c>
      <c r="I82" s="87">
        <f t="shared" si="32"/>
        <v>0</v>
      </c>
      <c r="J82" s="87">
        <f t="shared" si="32"/>
        <v>576852</v>
      </c>
      <c r="K82" s="87">
        <f t="shared" si="32"/>
        <v>0</v>
      </c>
      <c r="L82" s="87">
        <f t="shared" si="32"/>
        <v>0</v>
      </c>
      <c r="M82" s="87">
        <f t="shared" si="32"/>
        <v>576852</v>
      </c>
      <c r="N82" s="87">
        <f t="shared" si="32"/>
        <v>-341394</v>
      </c>
      <c r="O82" s="87">
        <f t="shared" si="32"/>
        <v>235458</v>
      </c>
      <c r="P82" s="87">
        <f t="shared" si="32"/>
        <v>0</v>
      </c>
      <c r="Q82" s="87">
        <f t="shared" si="32"/>
        <v>234839</v>
      </c>
      <c r="R82" s="87">
        <f>R84+R88+R92+R107+R113+R117</f>
        <v>-200</v>
      </c>
      <c r="S82" s="87">
        <f>S84+S88+S92+S107+S113+S117</f>
        <v>0</v>
      </c>
      <c r="T82" s="87">
        <f>T84+T88+T92+T107+T113+T117</f>
        <v>235258</v>
      </c>
      <c r="U82" s="87">
        <f>U84+U88+U92+U107+U113+U117</f>
        <v>234839</v>
      </c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</row>
    <row r="83" spans="1:21" ht="16.5">
      <c r="A83" s="90"/>
      <c r="B83" s="43"/>
      <c r="C83" s="43"/>
      <c r="D83" s="44"/>
      <c r="E83" s="43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</row>
    <row r="84" spans="1:63" s="12" customFormat="1" ht="18.75" hidden="1">
      <c r="A84" s="53" t="s">
        <v>37</v>
      </c>
      <c r="B84" s="54" t="s">
        <v>135</v>
      </c>
      <c r="C84" s="54" t="s">
        <v>149</v>
      </c>
      <c r="D84" s="65"/>
      <c r="E84" s="54"/>
      <c r="F84" s="66">
        <f aca="true" t="shared" si="33" ref="F84:U85">F85</f>
        <v>6711</v>
      </c>
      <c r="G84" s="66">
        <f t="shared" si="33"/>
        <v>-1070</v>
      </c>
      <c r="H84" s="66">
        <f t="shared" si="33"/>
        <v>5641</v>
      </c>
      <c r="I84" s="66">
        <f t="shared" si="33"/>
        <v>0</v>
      </c>
      <c r="J84" s="66">
        <f t="shared" si="33"/>
        <v>0</v>
      </c>
      <c r="K84" s="66">
        <f t="shared" si="33"/>
        <v>0</v>
      </c>
      <c r="L84" s="66">
        <f t="shared" si="33"/>
        <v>0</v>
      </c>
      <c r="M84" s="66">
        <f t="shared" si="33"/>
        <v>0</v>
      </c>
      <c r="N84" s="66">
        <f t="shared" si="33"/>
        <v>0</v>
      </c>
      <c r="O84" s="66">
        <f t="shared" si="33"/>
        <v>0</v>
      </c>
      <c r="P84" s="66">
        <f t="shared" si="33"/>
        <v>0</v>
      </c>
      <c r="Q84" s="66">
        <f t="shared" si="33"/>
        <v>0</v>
      </c>
      <c r="R84" s="66">
        <f t="shared" si="33"/>
        <v>0</v>
      </c>
      <c r="S84" s="66">
        <f t="shared" si="33"/>
        <v>0</v>
      </c>
      <c r="T84" s="66">
        <f t="shared" si="33"/>
        <v>0</v>
      </c>
      <c r="U84" s="66">
        <f t="shared" si="33"/>
        <v>0</v>
      </c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</row>
    <row r="85" spans="1:63" s="14" customFormat="1" ht="59.25" customHeight="1" hidden="1">
      <c r="A85" s="67" t="s">
        <v>150</v>
      </c>
      <c r="B85" s="68" t="s">
        <v>135</v>
      </c>
      <c r="C85" s="68" t="s">
        <v>149</v>
      </c>
      <c r="D85" s="69" t="s">
        <v>38</v>
      </c>
      <c r="E85" s="68"/>
      <c r="F85" s="70">
        <f t="shared" si="33"/>
        <v>6711</v>
      </c>
      <c r="G85" s="70">
        <f t="shared" si="33"/>
        <v>-1070</v>
      </c>
      <c r="H85" s="70">
        <f t="shared" si="33"/>
        <v>5641</v>
      </c>
      <c r="I85" s="70">
        <f t="shared" si="33"/>
        <v>0</v>
      </c>
      <c r="J85" s="70">
        <f t="shared" si="33"/>
        <v>0</v>
      </c>
      <c r="K85" s="70">
        <f t="shared" si="33"/>
        <v>0</v>
      </c>
      <c r="L85" s="70">
        <f t="shared" si="33"/>
        <v>0</v>
      </c>
      <c r="M85" s="70">
        <f t="shared" si="33"/>
        <v>0</v>
      </c>
      <c r="N85" s="70">
        <f t="shared" si="33"/>
        <v>0</v>
      </c>
      <c r="O85" s="70">
        <f t="shared" si="33"/>
        <v>0</v>
      </c>
      <c r="P85" s="70">
        <f t="shared" si="33"/>
        <v>0</v>
      </c>
      <c r="Q85" s="70">
        <f t="shared" si="33"/>
        <v>0</v>
      </c>
      <c r="R85" s="70">
        <f t="shared" si="33"/>
        <v>0</v>
      </c>
      <c r="S85" s="70">
        <f t="shared" si="33"/>
        <v>0</v>
      </c>
      <c r="T85" s="70">
        <f t="shared" si="33"/>
        <v>0</v>
      </c>
      <c r="U85" s="70">
        <f t="shared" si="33"/>
        <v>0</v>
      </c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</row>
    <row r="86" spans="1:63" s="16" customFormat="1" ht="93.75" customHeight="1" hidden="1">
      <c r="A86" s="67" t="s">
        <v>256</v>
      </c>
      <c r="B86" s="68" t="s">
        <v>135</v>
      </c>
      <c r="C86" s="68" t="s">
        <v>149</v>
      </c>
      <c r="D86" s="69" t="s">
        <v>38</v>
      </c>
      <c r="E86" s="68" t="s">
        <v>151</v>
      </c>
      <c r="F86" s="59">
        <v>6711</v>
      </c>
      <c r="G86" s="59">
        <f>H86-F86</f>
        <v>-1070</v>
      </c>
      <c r="H86" s="59">
        <v>5641</v>
      </c>
      <c r="I86" s="60"/>
      <c r="J86" s="60"/>
      <c r="K86" s="60"/>
      <c r="L86" s="60"/>
      <c r="M86" s="59"/>
      <c r="N86" s="59">
        <f>O86-M86</f>
        <v>0</v>
      </c>
      <c r="O86" s="59">
        <f aca="true" t="shared" si="34" ref="O86:U86">J86+L86</f>
        <v>0</v>
      </c>
      <c r="P86" s="59">
        <f t="shared" si="34"/>
        <v>0</v>
      </c>
      <c r="Q86" s="59">
        <f t="shared" si="34"/>
        <v>0</v>
      </c>
      <c r="R86" s="59">
        <f t="shared" si="34"/>
        <v>0</v>
      </c>
      <c r="S86" s="59">
        <f t="shared" si="34"/>
        <v>0</v>
      </c>
      <c r="T86" s="59">
        <f t="shared" si="34"/>
        <v>0</v>
      </c>
      <c r="U86" s="59">
        <f t="shared" si="34"/>
        <v>0</v>
      </c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</row>
    <row r="87" spans="1:21" ht="14.25" hidden="1">
      <c r="A87" s="90"/>
      <c r="B87" s="43"/>
      <c r="C87" s="43"/>
      <c r="D87" s="44"/>
      <c r="E87" s="43"/>
      <c r="F87" s="91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</row>
    <row r="88" spans="1:63" s="12" customFormat="1" ht="18.75">
      <c r="A88" s="53" t="s">
        <v>39</v>
      </c>
      <c r="B88" s="54" t="s">
        <v>135</v>
      </c>
      <c r="C88" s="54" t="s">
        <v>136</v>
      </c>
      <c r="D88" s="65"/>
      <c r="E88" s="54"/>
      <c r="F88" s="56">
        <f aca="true" t="shared" si="35" ref="F88:U89">F89</f>
        <v>3270</v>
      </c>
      <c r="G88" s="56">
        <f t="shared" si="35"/>
        <v>199</v>
      </c>
      <c r="H88" s="56">
        <f t="shared" si="35"/>
        <v>3469</v>
      </c>
      <c r="I88" s="56">
        <f t="shared" si="35"/>
        <v>0</v>
      </c>
      <c r="J88" s="56">
        <f t="shared" si="35"/>
        <v>3715</v>
      </c>
      <c r="K88" s="56">
        <f t="shared" si="35"/>
        <v>0</v>
      </c>
      <c r="L88" s="56">
        <f t="shared" si="35"/>
        <v>0</v>
      </c>
      <c r="M88" s="56">
        <f t="shared" si="35"/>
        <v>3715</v>
      </c>
      <c r="N88" s="56">
        <f t="shared" si="35"/>
        <v>-408</v>
      </c>
      <c r="O88" s="56">
        <f t="shared" si="35"/>
        <v>3307</v>
      </c>
      <c r="P88" s="56">
        <f t="shared" si="35"/>
        <v>0</v>
      </c>
      <c r="Q88" s="56">
        <f t="shared" si="35"/>
        <v>3307</v>
      </c>
      <c r="R88" s="56">
        <f t="shared" si="35"/>
        <v>0</v>
      </c>
      <c r="S88" s="56">
        <f t="shared" si="35"/>
        <v>0</v>
      </c>
      <c r="T88" s="56">
        <f t="shared" si="35"/>
        <v>3307</v>
      </c>
      <c r="U88" s="56">
        <f t="shared" si="35"/>
        <v>3307</v>
      </c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</row>
    <row r="89" spans="1:63" s="14" customFormat="1" ht="22.5" customHeight="1">
      <c r="A89" s="67" t="s">
        <v>147</v>
      </c>
      <c r="B89" s="68" t="s">
        <v>135</v>
      </c>
      <c r="C89" s="68" t="s">
        <v>136</v>
      </c>
      <c r="D89" s="69" t="s">
        <v>148</v>
      </c>
      <c r="E89" s="68"/>
      <c r="F89" s="59">
        <f t="shared" si="35"/>
        <v>3270</v>
      </c>
      <c r="G89" s="59">
        <f t="shared" si="35"/>
        <v>199</v>
      </c>
      <c r="H89" s="59">
        <f t="shared" si="35"/>
        <v>3469</v>
      </c>
      <c r="I89" s="59">
        <f t="shared" si="35"/>
        <v>0</v>
      </c>
      <c r="J89" s="59">
        <f t="shared" si="35"/>
        <v>3715</v>
      </c>
      <c r="K89" s="59">
        <f t="shared" si="35"/>
        <v>0</v>
      </c>
      <c r="L89" s="59">
        <f t="shared" si="35"/>
        <v>0</v>
      </c>
      <c r="M89" s="59">
        <f t="shared" si="35"/>
        <v>3715</v>
      </c>
      <c r="N89" s="59">
        <f t="shared" si="35"/>
        <v>-408</v>
      </c>
      <c r="O89" s="59">
        <f t="shared" si="35"/>
        <v>3307</v>
      </c>
      <c r="P89" s="59">
        <f t="shared" si="35"/>
        <v>0</v>
      </c>
      <c r="Q89" s="59">
        <f t="shared" si="35"/>
        <v>3307</v>
      </c>
      <c r="R89" s="59">
        <f t="shared" si="35"/>
        <v>0</v>
      </c>
      <c r="S89" s="59">
        <f t="shared" si="35"/>
        <v>0</v>
      </c>
      <c r="T89" s="59">
        <f t="shared" si="35"/>
        <v>3307</v>
      </c>
      <c r="U89" s="59">
        <f t="shared" si="35"/>
        <v>3307</v>
      </c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</row>
    <row r="90" spans="1:63" s="16" customFormat="1" ht="53.25" customHeight="1">
      <c r="A90" s="67" t="s">
        <v>137</v>
      </c>
      <c r="B90" s="68" t="s">
        <v>135</v>
      </c>
      <c r="C90" s="68" t="s">
        <v>136</v>
      </c>
      <c r="D90" s="69" t="s">
        <v>148</v>
      </c>
      <c r="E90" s="68" t="s">
        <v>138</v>
      </c>
      <c r="F90" s="59">
        <v>3270</v>
      </c>
      <c r="G90" s="59">
        <f>H90-F90</f>
        <v>199</v>
      </c>
      <c r="H90" s="59">
        <v>3469</v>
      </c>
      <c r="I90" s="59"/>
      <c r="J90" s="59">
        <v>3715</v>
      </c>
      <c r="K90" s="61"/>
      <c r="L90" s="61"/>
      <c r="M90" s="59">
        <v>3715</v>
      </c>
      <c r="N90" s="59">
        <f>O90-M90</f>
        <v>-408</v>
      </c>
      <c r="O90" s="59">
        <v>3307</v>
      </c>
      <c r="P90" s="59"/>
      <c r="Q90" s="59">
        <v>3307</v>
      </c>
      <c r="R90" s="61"/>
      <c r="S90" s="61"/>
      <c r="T90" s="59">
        <f>O90+R90</f>
        <v>3307</v>
      </c>
      <c r="U90" s="59">
        <f>Q90+S90</f>
        <v>3307</v>
      </c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</row>
    <row r="91" spans="1:63" s="16" customFormat="1" ht="18" customHeight="1">
      <c r="A91" s="67"/>
      <c r="B91" s="68"/>
      <c r="C91" s="68"/>
      <c r="D91" s="69"/>
      <c r="E91" s="68"/>
      <c r="F91" s="88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</row>
    <row r="92" spans="1:63" s="16" customFormat="1" ht="18" customHeight="1">
      <c r="A92" s="53" t="s">
        <v>40</v>
      </c>
      <c r="B92" s="54" t="s">
        <v>135</v>
      </c>
      <c r="C92" s="54" t="s">
        <v>153</v>
      </c>
      <c r="D92" s="65"/>
      <c r="E92" s="54"/>
      <c r="F92" s="66">
        <f aca="true" t="shared" si="36" ref="F92:O92">F93+F95+F98</f>
        <v>274994</v>
      </c>
      <c r="G92" s="66">
        <f t="shared" si="36"/>
        <v>94406</v>
      </c>
      <c r="H92" s="66">
        <f t="shared" si="36"/>
        <v>369400</v>
      </c>
      <c r="I92" s="66">
        <f t="shared" si="36"/>
        <v>0</v>
      </c>
      <c r="J92" s="66">
        <f t="shared" si="36"/>
        <v>412530</v>
      </c>
      <c r="K92" s="66">
        <f t="shared" si="36"/>
        <v>0</v>
      </c>
      <c r="L92" s="66">
        <f t="shared" si="36"/>
        <v>0</v>
      </c>
      <c r="M92" s="66">
        <f t="shared" si="36"/>
        <v>412530</v>
      </c>
      <c r="N92" s="66">
        <f t="shared" si="36"/>
        <v>-239355</v>
      </c>
      <c r="O92" s="66">
        <f t="shared" si="36"/>
        <v>173175</v>
      </c>
      <c r="P92" s="66">
        <f aca="true" t="shared" si="37" ref="P92:U92">P93+P95+P98</f>
        <v>0</v>
      </c>
      <c r="Q92" s="66">
        <f t="shared" si="37"/>
        <v>177686</v>
      </c>
      <c r="R92" s="66">
        <f t="shared" si="37"/>
        <v>0</v>
      </c>
      <c r="S92" s="66">
        <f t="shared" si="37"/>
        <v>0</v>
      </c>
      <c r="T92" s="66">
        <f t="shared" si="37"/>
        <v>173175</v>
      </c>
      <c r="U92" s="66">
        <f t="shared" si="37"/>
        <v>177686</v>
      </c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</row>
    <row r="93" spans="1:63" s="16" customFormat="1" ht="79.5" customHeight="1" hidden="1">
      <c r="A93" s="67" t="s">
        <v>133</v>
      </c>
      <c r="B93" s="68" t="s">
        <v>135</v>
      </c>
      <c r="C93" s="68" t="s">
        <v>153</v>
      </c>
      <c r="D93" s="69" t="s">
        <v>124</v>
      </c>
      <c r="E93" s="54"/>
      <c r="F93" s="66">
        <f aca="true" t="shared" si="38" ref="F93:U93">F94</f>
        <v>0</v>
      </c>
      <c r="G93" s="70">
        <f t="shared" si="38"/>
        <v>9403</v>
      </c>
      <c r="H93" s="70">
        <f t="shared" si="38"/>
        <v>9403</v>
      </c>
      <c r="I93" s="70">
        <f t="shared" si="38"/>
        <v>0</v>
      </c>
      <c r="J93" s="70">
        <f t="shared" si="38"/>
        <v>9073</v>
      </c>
      <c r="K93" s="70">
        <f t="shared" si="38"/>
        <v>0</v>
      </c>
      <c r="L93" s="70">
        <f t="shared" si="38"/>
        <v>0</v>
      </c>
      <c r="M93" s="70">
        <f t="shared" si="38"/>
        <v>9073</v>
      </c>
      <c r="N93" s="70">
        <f t="shared" si="38"/>
        <v>-9073</v>
      </c>
      <c r="O93" s="70">
        <f t="shared" si="38"/>
        <v>0</v>
      </c>
      <c r="P93" s="70">
        <f t="shared" si="38"/>
        <v>0</v>
      </c>
      <c r="Q93" s="70">
        <f t="shared" si="38"/>
        <v>0</v>
      </c>
      <c r="R93" s="70">
        <f t="shared" si="38"/>
        <v>0</v>
      </c>
      <c r="S93" s="70">
        <f t="shared" si="38"/>
        <v>0</v>
      </c>
      <c r="T93" s="70">
        <f t="shared" si="38"/>
        <v>0</v>
      </c>
      <c r="U93" s="70">
        <f t="shared" si="38"/>
        <v>0</v>
      </c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</row>
    <row r="94" spans="1:63" s="16" customFormat="1" ht="45" customHeight="1" hidden="1">
      <c r="A94" s="67" t="s">
        <v>231</v>
      </c>
      <c r="B94" s="68" t="s">
        <v>135</v>
      </c>
      <c r="C94" s="68" t="s">
        <v>153</v>
      </c>
      <c r="D94" s="69" t="s">
        <v>124</v>
      </c>
      <c r="E94" s="68" t="s">
        <v>232</v>
      </c>
      <c r="F94" s="66"/>
      <c r="G94" s="59">
        <f>H94-F94</f>
        <v>9403</v>
      </c>
      <c r="H94" s="70">
        <v>9403</v>
      </c>
      <c r="I94" s="70"/>
      <c r="J94" s="70">
        <v>9073</v>
      </c>
      <c r="K94" s="61"/>
      <c r="L94" s="61"/>
      <c r="M94" s="59">
        <v>9073</v>
      </c>
      <c r="N94" s="59">
        <f>O94-M94</f>
        <v>-9073</v>
      </c>
      <c r="O94" s="59"/>
      <c r="P94" s="59"/>
      <c r="Q94" s="59"/>
      <c r="R94" s="59"/>
      <c r="S94" s="59"/>
      <c r="T94" s="59"/>
      <c r="U94" s="59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</row>
    <row r="95" spans="1:63" s="16" customFormat="1" ht="26.25" customHeight="1" hidden="1">
      <c r="A95" s="67" t="s">
        <v>154</v>
      </c>
      <c r="B95" s="68" t="s">
        <v>135</v>
      </c>
      <c r="C95" s="68" t="s">
        <v>153</v>
      </c>
      <c r="D95" s="69" t="s">
        <v>155</v>
      </c>
      <c r="E95" s="68"/>
      <c r="F95" s="70">
        <f aca="true" t="shared" si="39" ref="F95:U96">F96</f>
        <v>1968</v>
      </c>
      <c r="G95" s="70">
        <f t="shared" si="39"/>
        <v>225</v>
      </c>
      <c r="H95" s="70">
        <f t="shared" si="39"/>
        <v>2193</v>
      </c>
      <c r="I95" s="70">
        <f t="shared" si="39"/>
        <v>0</v>
      </c>
      <c r="J95" s="70">
        <f t="shared" si="39"/>
        <v>2530</v>
      </c>
      <c r="K95" s="70">
        <f t="shared" si="39"/>
        <v>0</v>
      </c>
      <c r="L95" s="70">
        <f t="shared" si="39"/>
        <v>0</v>
      </c>
      <c r="M95" s="70">
        <f t="shared" si="39"/>
        <v>2530</v>
      </c>
      <c r="N95" s="70">
        <f t="shared" si="39"/>
        <v>-2530</v>
      </c>
      <c r="O95" s="70">
        <f t="shared" si="39"/>
        <v>0</v>
      </c>
      <c r="P95" s="70">
        <f t="shared" si="39"/>
        <v>0</v>
      </c>
      <c r="Q95" s="70">
        <f t="shared" si="39"/>
        <v>0</v>
      </c>
      <c r="R95" s="70">
        <f t="shared" si="39"/>
        <v>0</v>
      </c>
      <c r="S95" s="70">
        <f t="shared" si="39"/>
        <v>0</v>
      </c>
      <c r="T95" s="70">
        <f t="shared" si="39"/>
        <v>0</v>
      </c>
      <c r="U95" s="70">
        <f t="shared" si="39"/>
        <v>0</v>
      </c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</row>
    <row r="96" spans="1:63" s="16" customFormat="1" ht="93.75" customHeight="1" hidden="1">
      <c r="A96" s="93" t="s">
        <v>198</v>
      </c>
      <c r="B96" s="68" t="s">
        <v>135</v>
      </c>
      <c r="C96" s="68" t="s">
        <v>153</v>
      </c>
      <c r="D96" s="69" t="s">
        <v>193</v>
      </c>
      <c r="E96" s="68"/>
      <c r="F96" s="70">
        <f t="shared" si="39"/>
        <v>1968</v>
      </c>
      <c r="G96" s="70">
        <f t="shared" si="39"/>
        <v>225</v>
      </c>
      <c r="H96" s="70">
        <f t="shared" si="39"/>
        <v>2193</v>
      </c>
      <c r="I96" s="70">
        <f t="shared" si="39"/>
        <v>0</v>
      </c>
      <c r="J96" s="70">
        <f t="shared" si="39"/>
        <v>2530</v>
      </c>
      <c r="K96" s="70">
        <f t="shared" si="39"/>
        <v>0</v>
      </c>
      <c r="L96" s="70">
        <f t="shared" si="39"/>
        <v>0</v>
      </c>
      <c r="M96" s="70">
        <f t="shared" si="39"/>
        <v>2530</v>
      </c>
      <c r="N96" s="70">
        <f t="shared" si="39"/>
        <v>-2530</v>
      </c>
      <c r="O96" s="70">
        <f t="shared" si="39"/>
        <v>0</v>
      </c>
      <c r="P96" s="70">
        <f t="shared" si="39"/>
        <v>0</v>
      </c>
      <c r="Q96" s="70">
        <f t="shared" si="39"/>
        <v>0</v>
      </c>
      <c r="R96" s="70">
        <f t="shared" si="39"/>
        <v>0</v>
      </c>
      <c r="S96" s="70">
        <f t="shared" si="39"/>
        <v>0</v>
      </c>
      <c r="T96" s="70">
        <f t="shared" si="39"/>
        <v>0</v>
      </c>
      <c r="U96" s="70">
        <f t="shared" si="39"/>
        <v>0</v>
      </c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</row>
    <row r="97" spans="1:63" s="16" customFormat="1" ht="84.75" customHeight="1" hidden="1">
      <c r="A97" s="67" t="s">
        <v>257</v>
      </c>
      <c r="B97" s="68" t="s">
        <v>135</v>
      </c>
      <c r="C97" s="68" t="s">
        <v>153</v>
      </c>
      <c r="D97" s="69" t="s">
        <v>193</v>
      </c>
      <c r="E97" s="68" t="s">
        <v>143</v>
      </c>
      <c r="F97" s="59">
        <v>1968</v>
      </c>
      <c r="G97" s="59">
        <f>H97-F97</f>
        <v>225</v>
      </c>
      <c r="H97" s="59">
        <v>2193</v>
      </c>
      <c r="I97" s="59"/>
      <c r="J97" s="59">
        <v>2530</v>
      </c>
      <c r="K97" s="61"/>
      <c r="L97" s="61"/>
      <c r="M97" s="59">
        <v>2530</v>
      </c>
      <c r="N97" s="59">
        <f>O97-M97</f>
        <v>-2530</v>
      </c>
      <c r="O97" s="59"/>
      <c r="P97" s="59"/>
      <c r="Q97" s="59"/>
      <c r="R97" s="59"/>
      <c r="S97" s="59"/>
      <c r="T97" s="59"/>
      <c r="U97" s="59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</row>
    <row r="98" spans="1:63" s="16" customFormat="1" ht="19.5" customHeight="1">
      <c r="A98" s="67" t="s">
        <v>41</v>
      </c>
      <c r="B98" s="68" t="s">
        <v>135</v>
      </c>
      <c r="C98" s="68" t="s">
        <v>153</v>
      </c>
      <c r="D98" s="69" t="s">
        <v>157</v>
      </c>
      <c r="E98" s="68"/>
      <c r="F98" s="70">
        <f aca="true" t="shared" si="40" ref="F98:L98">F100+F102+F104</f>
        <v>273026</v>
      </c>
      <c r="G98" s="70">
        <f t="shared" si="40"/>
        <v>84778</v>
      </c>
      <c r="H98" s="70">
        <f t="shared" si="40"/>
        <v>357804</v>
      </c>
      <c r="I98" s="70">
        <f t="shared" si="40"/>
        <v>0</v>
      </c>
      <c r="J98" s="70">
        <f t="shared" si="40"/>
        <v>400927</v>
      </c>
      <c r="K98" s="70">
        <f t="shared" si="40"/>
        <v>0</v>
      </c>
      <c r="L98" s="70">
        <f t="shared" si="40"/>
        <v>0</v>
      </c>
      <c r="M98" s="70">
        <f aca="true" t="shared" si="41" ref="M98:U98">M99+M100+M102+M104</f>
        <v>400927</v>
      </c>
      <c r="N98" s="70">
        <f t="shared" si="41"/>
        <v>-227752</v>
      </c>
      <c r="O98" s="70">
        <f t="shared" si="41"/>
        <v>173175</v>
      </c>
      <c r="P98" s="70">
        <f t="shared" si="41"/>
        <v>0</v>
      </c>
      <c r="Q98" s="70">
        <f t="shared" si="41"/>
        <v>177686</v>
      </c>
      <c r="R98" s="70">
        <f t="shared" si="41"/>
        <v>0</v>
      </c>
      <c r="S98" s="70">
        <f t="shared" si="41"/>
        <v>0</v>
      </c>
      <c r="T98" s="70">
        <f t="shared" si="41"/>
        <v>173175</v>
      </c>
      <c r="U98" s="70">
        <f t="shared" si="41"/>
        <v>177686</v>
      </c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</row>
    <row r="99" spans="1:63" s="16" customFormat="1" ht="86.25" customHeight="1" hidden="1">
      <c r="A99" s="67" t="s">
        <v>257</v>
      </c>
      <c r="B99" s="68" t="s">
        <v>135</v>
      </c>
      <c r="C99" s="68" t="s">
        <v>153</v>
      </c>
      <c r="D99" s="69" t="s">
        <v>157</v>
      </c>
      <c r="E99" s="68" t="s">
        <v>143</v>
      </c>
      <c r="F99" s="70"/>
      <c r="G99" s="70"/>
      <c r="H99" s="70"/>
      <c r="I99" s="70"/>
      <c r="J99" s="70"/>
      <c r="K99" s="70"/>
      <c r="L99" s="70"/>
      <c r="M99" s="70"/>
      <c r="N99" s="59">
        <f>O99-M99</f>
        <v>0</v>
      </c>
      <c r="O99" s="70"/>
      <c r="P99" s="70"/>
      <c r="Q99" s="70"/>
      <c r="R99" s="70"/>
      <c r="S99" s="70"/>
      <c r="T99" s="70"/>
      <c r="U99" s="70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</row>
    <row r="100" spans="1:63" s="16" customFormat="1" ht="69.75" customHeight="1">
      <c r="A100" s="93" t="s">
        <v>199</v>
      </c>
      <c r="B100" s="68" t="s">
        <v>135</v>
      </c>
      <c r="C100" s="68" t="s">
        <v>153</v>
      </c>
      <c r="D100" s="69" t="s">
        <v>194</v>
      </c>
      <c r="E100" s="68"/>
      <c r="F100" s="70">
        <f aca="true" t="shared" si="42" ref="F100:U100">F101</f>
        <v>133494</v>
      </c>
      <c r="G100" s="70">
        <f t="shared" si="42"/>
        <v>-45904</v>
      </c>
      <c r="H100" s="70">
        <f t="shared" si="42"/>
        <v>87590</v>
      </c>
      <c r="I100" s="70">
        <f t="shared" si="42"/>
        <v>0</v>
      </c>
      <c r="J100" s="70">
        <f t="shared" si="42"/>
        <v>93809</v>
      </c>
      <c r="K100" s="70">
        <f t="shared" si="42"/>
        <v>0</v>
      </c>
      <c r="L100" s="70">
        <f t="shared" si="42"/>
        <v>0</v>
      </c>
      <c r="M100" s="70">
        <f t="shared" si="42"/>
        <v>93809</v>
      </c>
      <c r="N100" s="70">
        <f t="shared" si="42"/>
        <v>-22965</v>
      </c>
      <c r="O100" s="70">
        <f t="shared" si="42"/>
        <v>70844</v>
      </c>
      <c r="P100" s="70">
        <f t="shared" si="42"/>
        <v>0</v>
      </c>
      <c r="Q100" s="70">
        <f t="shared" si="42"/>
        <v>75355</v>
      </c>
      <c r="R100" s="70">
        <f t="shared" si="42"/>
        <v>0</v>
      </c>
      <c r="S100" s="70">
        <f t="shared" si="42"/>
        <v>0</v>
      </c>
      <c r="T100" s="70">
        <f t="shared" si="42"/>
        <v>70844</v>
      </c>
      <c r="U100" s="70">
        <f t="shared" si="42"/>
        <v>75355</v>
      </c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</row>
    <row r="101" spans="1:63" s="16" customFormat="1" ht="85.5" customHeight="1">
      <c r="A101" s="67" t="s">
        <v>257</v>
      </c>
      <c r="B101" s="68" t="s">
        <v>135</v>
      </c>
      <c r="C101" s="68" t="s">
        <v>153</v>
      </c>
      <c r="D101" s="69" t="s">
        <v>194</v>
      </c>
      <c r="E101" s="68" t="s">
        <v>143</v>
      </c>
      <c r="F101" s="59">
        <v>133494</v>
      </c>
      <c r="G101" s="59">
        <f>H101-F101</f>
        <v>-45904</v>
      </c>
      <c r="H101" s="59">
        <v>87590</v>
      </c>
      <c r="I101" s="59"/>
      <c r="J101" s="59">
        <v>93809</v>
      </c>
      <c r="K101" s="61"/>
      <c r="L101" s="61"/>
      <c r="M101" s="59">
        <v>93809</v>
      </c>
      <c r="N101" s="59">
        <f>O101-M101</f>
        <v>-22965</v>
      </c>
      <c r="O101" s="59">
        <v>70844</v>
      </c>
      <c r="P101" s="59"/>
      <c r="Q101" s="59">
        <v>75355</v>
      </c>
      <c r="R101" s="61"/>
      <c r="S101" s="61"/>
      <c r="T101" s="59">
        <f>O101+R101</f>
        <v>70844</v>
      </c>
      <c r="U101" s="59">
        <f>Q101+S101</f>
        <v>75355</v>
      </c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</row>
    <row r="102" spans="1:63" s="16" customFormat="1" ht="43.5" customHeight="1">
      <c r="A102" s="93" t="s">
        <v>200</v>
      </c>
      <c r="B102" s="68" t="s">
        <v>135</v>
      </c>
      <c r="C102" s="68" t="s">
        <v>153</v>
      </c>
      <c r="D102" s="69" t="s">
        <v>195</v>
      </c>
      <c r="E102" s="68"/>
      <c r="F102" s="70">
        <f aca="true" t="shared" si="43" ref="F102:U102">F103</f>
        <v>128459</v>
      </c>
      <c r="G102" s="70">
        <f t="shared" si="43"/>
        <v>130459</v>
      </c>
      <c r="H102" s="70">
        <f t="shared" si="43"/>
        <v>258918</v>
      </c>
      <c r="I102" s="70">
        <f t="shared" si="43"/>
        <v>0</v>
      </c>
      <c r="J102" s="70">
        <f t="shared" si="43"/>
        <v>295376</v>
      </c>
      <c r="K102" s="70">
        <f t="shared" si="43"/>
        <v>0</v>
      </c>
      <c r="L102" s="70">
        <f t="shared" si="43"/>
        <v>0</v>
      </c>
      <c r="M102" s="70">
        <f t="shared" si="43"/>
        <v>295376</v>
      </c>
      <c r="N102" s="70">
        <f t="shared" si="43"/>
        <v>-193045</v>
      </c>
      <c r="O102" s="70">
        <f t="shared" si="43"/>
        <v>102331</v>
      </c>
      <c r="P102" s="70">
        <f t="shared" si="43"/>
        <v>0</v>
      </c>
      <c r="Q102" s="70">
        <f t="shared" si="43"/>
        <v>102331</v>
      </c>
      <c r="R102" s="70">
        <f t="shared" si="43"/>
        <v>0</v>
      </c>
      <c r="S102" s="70">
        <f t="shared" si="43"/>
        <v>0</v>
      </c>
      <c r="T102" s="70">
        <f t="shared" si="43"/>
        <v>102331</v>
      </c>
      <c r="U102" s="70">
        <f t="shared" si="43"/>
        <v>102331</v>
      </c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</row>
    <row r="103" spans="1:63" s="16" customFormat="1" ht="87" customHeight="1">
      <c r="A103" s="67" t="s">
        <v>257</v>
      </c>
      <c r="B103" s="68" t="s">
        <v>135</v>
      </c>
      <c r="C103" s="68" t="s">
        <v>153</v>
      </c>
      <c r="D103" s="69" t="s">
        <v>195</v>
      </c>
      <c r="E103" s="68" t="s">
        <v>143</v>
      </c>
      <c r="F103" s="59">
        <v>128459</v>
      </c>
      <c r="G103" s="59">
        <f>H103-F103</f>
        <v>130459</v>
      </c>
      <c r="H103" s="59">
        <v>258918</v>
      </c>
      <c r="I103" s="59"/>
      <c r="J103" s="59">
        <v>295376</v>
      </c>
      <c r="K103" s="61"/>
      <c r="L103" s="61"/>
      <c r="M103" s="59">
        <v>295376</v>
      </c>
      <c r="N103" s="59">
        <f>O103-M103</f>
        <v>-193045</v>
      </c>
      <c r="O103" s="59">
        <v>102331</v>
      </c>
      <c r="P103" s="59"/>
      <c r="Q103" s="59">
        <v>102331</v>
      </c>
      <c r="R103" s="61"/>
      <c r="S103" s="61"/>
      <c r="T103" s="59">
        <f>O103+R103</f>
        <v>102331</v>
      </c>
      <c r="U103" s="59">
        <f>Q103+S103</f>
        <v>102331</v>
      </c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</row>
    <row r="104" spans="1:63" s="16" customFormat="1" ht="87" customHeight="1" hidden="1">
      <c r="A104" s="93" t="s">
        <v>201</v>
      </c>
      <c r="B104" s="68" t="s">
        <v>135</v>
      </c>
      <c r="C104" s="68" t="s">
        <v>153</v>
      </c>
      <c r="D104" s="69" t="s">
        <v>196</v>
      </c>
      <c r="E104" s="68"/>
      <c r="F104" s="70">
        <f aca="true" t="shared" si="44" ref="F104:Q104">F105</f>
        <v>11073</v>
      </c>
      <c r="G104" s="70">
        <f t="shared" si="44"/>
        <v>223</v>
      </c>
      <c r="H104" s="70">
        <f t="shared" si="44"/>
        <v>11296</v>
      </c>
      <c r="I104" s="70">
        <f t="shared" si="44"/>
        <v>0</v>
      </c>
      <c r="J104" s="70">
        <f t="shared" si="44"/>
        <v>11742</v>
      </c>
      <c r="K104" s="70">
        <f t="shared" si="44"/>
        <v>0</v>
      </c>
      <c r="L104" s="70">
        <f t="shared" si="44"/>
        <v>0</v>
      </c>
      <c r="M104" s="70">
        <f t="shared" si="44"/>
        <v>11742</v>
      </c>
      <c r="N104" s="70">
        <f t="shared" si="44"/>
        <v>-11742</v>
      </c>
      <c r="O104" s="70">
        <f t="shared" si="44"/>
        <v>0</v>
      </c>
      <c r="P104" s="70">
        <f t="shared" si="44"/>
        <v>0</v>
      </c>
      <c r="Q104" s="70">
        <f t="shared" si="44"/>
        <v>0</v>
      </c>
      <c r="R104" s="61"/>
      <c r="S104" s="61"/>
      <c r="T104" s="61"/>
      <c r="U104" s="61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</row>
    <row r="105" spans="1:63" s="16" customFormat="1" ht="85.5" customHeight="1" hidden="1">
      <c r="A105" s="67" t="s">
        <v>257</v>
      </c>
      <c r="B105" s="68" t="s">
        <v>135</v>
      </c>
      <c r="C105" s="68" t="s">
        <v>153</v>
      </c>
      <c r="D105" s="69" t="s">
        <v>196</v>
      </c>
      <c r="E105" s="68" t="s">
        <v>143</v>
      </c>
      <c r="F105" s="59">
        <v>11073</v>
      </c>
      <c r="G105" s="59">
        <f>H105-F105</f>
        <v>223</v>
      </c>
      <c r="H105" s="59">
        <v>11296</v>
      </c>
      <c r="I105" s="59"/>
      <c r="J105" s="59">
        <v>11742</v>
      </c>
      <c r="K105" s="61"/>
      <c r="L105" s="61"/>
      <c r="M105" s="59">
        <v>11742</v>
      </c>
      <c r="N105" s="59">
        <f>O105-M105</f>
        <v>-11742</v>
      </c>
      <c r="O105" s="59"/>
      <c r="P105" s="59"/>
      <c r="Q105" s="59"/>
      <c r="R105" s="61"/>
      <c r="S105" s="61"/>
      <c r="T105" s="61"/>
      <c r="U105" s="61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</row>
    <row r="106" spans="1:63" s="16" customFormat="1" ht="17.25" customHeight="1" hidden="1">
      <c r="A106" s="67"/>
      <c r="B106" s="68"/>
      <c r="C106" s="68"/>
      <c r="D106" s="69"/>
      <c r="E106" s="68"/>
      <c r="F106" s="88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</row>
    <row r="107" spans="1:63" s="16" customFormat="1" ht="20.25" customHeight="1" hidden="1">
      <c r="A107" s="53" t="s">
        <v>152</v>
      </c>
      <c r="B107" s="54" t="s">
        <v>135</v>
      </c>
      <c r="C107" s="54" t="s">
        <v>146</v>
      </c>
      <c r="D107" s="65"/>
      <c r="E107" s="54"/>
      <c r="F107" s="66">
        <f aca="true" t="shared" si="45" ref="F107:Q108">F108</f>
        <v>41021</v>
      </c>
      <c r="G107" s="66">
        <f aca="true" t="shared" si="46" ref="G107:O107">G108+G110</f>
        <v>3990</v>
      </c>
      <c r="H107" s="66">
        <f t="shared" si="46"/>
        <v>45011</v>
      </c>
      <c r="I107" s="66">
        <f t="shared" si="46"/>
        <v>0</v>
      </c>
      <c r="J107" s="66">
        <f t="shared" si="46"/>
        <v>77308</v>
      </c>
      <c r="K107" s="66">
        <f t="shared" si="46"/>
        <v>0</v>
      </c>
      <c r="L107" s="66">
        <f t="shared" si="46"/>
        <v>0</v>
      </c>
      <c r="M107" s="66">
        <f t="shared" si="46"/>
        <v>77308</v>
      </c>
      <c r="N107" s="66">
        <f t="shared" si="46"/>
        <v>-77308</v>
      </c>
      <c r="O107" s="66">
        <f t="shared" si="46"/>
        <v>0</v>
      </c>
      <c r="P107" s="66">
        <f>P108+P110</f>
        <v>0</v>
      </c>
      <c r="Q107" s="66">
        <f>Q108+Q110</f>
        <v>0</v>
      </c>
      <c r="R107" s="61"/>
      <c r="S107" s="61"/>
      <c r="T107" s="61"/>
      <c r="U107" s="61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</row>
    <row r="108" spans="1:21" ht="52.5" customHeight="1" hidden="1">
      <c r="A108" s="67" t="s">
        <v>150</v>
      </c>
      <c r="B108" s="68" t="s">
        <v>135</v>
      </c>
      <c r="C108" s="68" t="s">
        <v>146</v>
      </c>
      <c r="D108" s="69" t="s">
        <v>38</v>
      </c>
      <c r="E108" s="68"/>
      <c r="F108" s="70">
        <f t="shared" si="45"/>
        <v>41021</v>
      </c>
      <c r="G108" s="70">
        <f t="shared" si="45"/>
        <v>-11347</v>
      </c>
      <c r="H108" s="70">
        <f t="shared" si="45"/>
        <v>29674</v>
      </c>
      <c r="I108" s="70">
        <f t="shared" si="45"/>
        <v>0</v>
      </c>
      <c r="J108" s="70">
        <f t="shared" si="45"/>
        <v>64738</v>
      </c>
      <c r="K108" s="70">
        <f t="shared" si="45"/>
        <v>0</v>
      </c>
      <c r="L108" s="70">
        <f t="shared" si="45"/>
        <v>0</v>
      </c>
      <c r="M108" s="70">
        <f t="shared" si="45"/>
        <v>64738</v>
      </c>
      <c r="N108" s="70">
        <f t="shared" si="45"/>
        <v>-64738</v>
      </c>
      <c r="O108" s="70">
        <f t="shared" si="45"/>
        <v>0</v>
      </c>
      <c r="P108" s="70">
        <f t="shared" si="45"/>
        <v>0</v>
      </c>
      <c r="Q108" s="70">
        <f t="shared" si="45"/>
        <v>0</v>
      </c>
      <c r="R108" s="47"/>
      <c r="S108" s="47"/>
      <c r="T108" s="47"/>
      <c r="U108" s="47"/>
    </row>
    <row r="109" spans="1:63" s="12" customFormat="1" ht="87" customHeight="1" hidden="1">
      <c r="A109" s="67" t="s">
        <v>256</v>
      </c>
      <c r="B109" s="68" t="s">
        <v>135</v>
      </c>
      <c r="C109" s="68" t="s">
        <v>146</v>
      </c>
      <c r="D109" s="69" t="s">
        <v>38</v>
      </c>
      <c r="E109" s="68" t="s">
        <v>151</v>
      </c>
      <c r="F109" s="59">
        <v>41021</v>
      </c>
      <c r="G109" s="59">
        <f>H109-F109</f>
        <v>-11347</v>
      </c>
      <c r="H109" s="59">
        <f>45011-15337</f>
        <v>29674</v>
      </c>
      <c r="I109" s="59"/>
      <c r="J109" s="59">
        <f>77308-12570</f>
        <v>64738</v>
      </c>
      <c r="K109" s="56"/>
      <c r="L109" s="56"/>
      <c r="M109" s="59">
        <v>64738</v>
      </c>
      <c r="N109" s="59">
        <f>O109-M109</f>
        <v>-64738</v>
      </c>
      <c r="O109" s="59"/>
      <c r="P109" s="59"/>
      <c r="Q109" s="59"/>
      <c r="R109" s="82"/>
      <c r="S109" s="82"/>
      <c r="T109" s="82"/>
      <c r="U109" s="82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</row>
    <row r="110" spans="1:63" s="12" customFormat="1" ht="24.75" customHeight="1" hidden="1">
      <c r="A110" s="67" t="s">
        <v>121</v>
      </c>
      <c r="B110" s="68" t="s">
        <v>135</v>
      </c>
      <c r="C110" s="68" t="s">
        <v>146</v>
      </c>
      <c r="D110" s="69" t="s">
        <v>122</v>
      </c>
      <c r="E110" s="68"/>
      <c r="F110" s="59"/>
      <c r="G110" s="59">
        <f aca="true" t="shared" si="47" ref="G110:Q110">G111</f>
        <v>15337</v>
      </c>
      <c r="H110" s="59">
        <f t="shared" si="47"/>
        <v>15337</v>
      </c>
      <c r="I110" s="59">
        <f t="shared" si="47"/>
        <v>0</v>
      </c>
      <c r="J110" s="59">
        <f t="shared" si="47"/>
        <v>12570</v>
      </c>
      <c r="K110" s="59">
        <f t="shared" si="47"/>
        <v>0</v>
      </c>
      <c r="L110" s="59">
        <f t="shared" si="47"/>
        <v>0</v>
      </c>
      <c r="M110" s="59">
        <f t="shared" si="47"/>
        <v>12570</v>
      </c>
      <c r="N110" s="59">
        <f t="shared" si="47"/>
        <v>-12570</v>
      </c>
      <c r="O110" s="59">
        <f t="shared" si="47"/>
        <v>0</v>
      </c>
      <c r="P110" s="59">
        <f t="shared" si="47"/>
        <v>0</v>
      </c>
      <c r="Q110" s="59">
        <f t="shared" si="47"/>
        <v>0</v>
      </c>
      <c r="R110" s="82"/>
      <c r="S110" s="82"/>
      <c r="T110" s="82"/>
      <c r="U110" s="82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</row>
    <row r="111" spans="1:63" s="12" customFormat="1" ht="87.75" customHeight="1" hidden="1">
      <c r="A111" s="67" t="s">
        <v>256</v>
      </c>
      <c r="B111" s="68" t="s">
        <v>135</v>
      </c>
      <c r="C111" s="68" t="s">
        <v>146</v>
      </c>
      <c r="D111" s="69" t="s">
        <v>122</v>
      </c>
      <c r="E111" s="68" t="s">
        <v>151</v>
      </c>
      <c r="F111" s="59"/>
      <c r="G111" s="59">
        <f>H111-F111</f>
        <v>15337</v>
      </c>
      <c r="H111" s="59">
        <v>15337</v>
      </c>
      <c r="I111" s="59"/>
      <c r="J111" s="59">
        <v>12570</v>
      </c>
      <c r="K111" s="56"/>
      <c r="L111" s="56"/>
      <c r="M111" s="59">
        <v>12570</v>
      </c>
      <c r="N111" s="59">
        <f>O111-M111</f>
        <v>-12570</v>
      </c>
      <c r="O111" s="59"/>
      <c r="P111" s="59"/>
      <c r="Q111" s="59"/>
      <c r="R111" s="82"/>
      <c r="S111" s="82"/>
      <c r="T111" s="82"/>
      <c r="U111" s="82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</row>
    <row r="112" spans="1:63" s="12" customFormat="1" ht="23.25" customHeight="1">
      <c r="A112" s="67"/>
      <c r="B112" s="68"/>
      <c r="C112" s="68"/>
      <c r="D112" s="69"/>
      <c r="E112" s="68"/>
      <c r="F112" s="59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82"/>
      <c r="S112" s="82"/>
      <c r="T112" s="82"/>
      <c r="U112" s="82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</row>
    <row r="113" spans="1:63" s="12" customFormat="1" ht="35.25" customHeight="1">
      <c r="A113" s="53" t="s">
        <v>208</v>
      </c>
      <c r="B113" s="54" t="s">
        <v>135</v>
      </c>
      <c r="C113" s="54" t="s">
        <v>139</v>
      </c>
      <c r="D113" s="69"/>
      <c r="E113" s="68"/>
      <c r="F113" s="66">
        <f aca="true" t="shared" si="48" ref="F113:U114">F114</f>
        <v>1563</v>
      </c>
      <c r="G113" s="66">
        <f t="shared" si="48"/>
        <v>218</v>
      </c>
      <c r="H113" s="66">
        <f t="shared" si="48"/>
        <v>1781</v>
      </c>
      <c r="I113" s="66">
        <f t="shared" si="48"/>
        <v>0</v>
      </c>
      <c r="J113" s="66">
        <f t="shared" si="48"/>
        <v>1911</v>
      </c>
      <c r="K113" s="66">
        <f t="shared" si="48"/>
        <v>0</v>
      </c>
      <c r="L113" s="66">
        <f t="shared" si="48"/>
        <v>0</v>
      </c>
      <c r="M113" s="66">
        <f t="shared" si="48"/>
        <v>1911</v>
      </c>
      <c r="N113" s="66">
        <f t="shared" si="48"/>
        <v>-383</v>
      </c>
      <c r="O113" s="66">
        <f t="shared" si="48"/>
        <v>1528</v>
      </c>
      <c r="P113" s="66">
        <f t="shared" si="48"/>
        <v>0</v>
      </c>
      <c r="Q113" s="66">
        <f t="shared" si="48"/>
        <v>1528</v>
      </c>
      <c r="R113" s="66">
        <f t="shared" si="48"/>
        <v>0</v>
      </c>
      <c r="S113" s="66">
        <f t="shared" si="48"/>
        <v>0</v>
      </c>
      <c r="T113" s="66">
        <f t="shared" si="48"/>
        <v>1528</v>
      </c>
      <c r="U113" s="66">
        <f t="shared" si="48"/>
        <v>1528</v>
      </c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</row>
    <row r="114" spans="1:63" s="12" customFormat="1" ht="22.5" customHeight="1">
      <c r="A114" s="67" t="s">
        <v>209</v>
      </c>
      <c r="B114" s="68" t="s">
        <v>135</v>
      </c>
      <c r="C114" s="68" t="s">
        <v>139</v>
      </c>
      <c r="D114" s="69" t="s">
        <v>207</v>
      </c>
      <c r="E114" s="68"/>
      <c r="F114" s="70">
        <f t="shared" si="48"/>
        <v>1563</v>
      </c>
      <c r="G114" s="70">
        <f t="shared" si="48"/>
        <v>218</v>
      </c>
      <c r="H114" s="70">
        <f t="shared" si="48"/>
        <v>1781</v>
      </c>
      <c r="I114" s="70">
        <f t="shared" si="48"/>
        <v>0</v>
      </c>
      <c r="J114" s="70">
        <f t="shared" si="48"/>
        <v>1911</v>
      </c>
      <c r="K114" s="70">
        <f t="shared" si="48"/>
        <v>0</v>
      </c>
      <c r="L114" s="70">
        <f t="shared" si="48"/>
        <v>0</v>
      </c>
      <c r="M114" s="70">
        <f t="shared" si="48"/>
        <v>1911</v>
      </c>
      <c r="N114" s="70">
        <f t="shared" si="48"/>
        <v>-383</v>
      </c>
      <c r="O114" s="70">
        <f t="shared" si="48"/>
        <v>1528</v>
      </c>
      <c r="P114" s="70">
        <f t="shared" si="48"/>
        <v>0</v>
      </c>
      <c r="Q114" s="70">
        <f t="shared" si="48"/>
        <v>1528</v>
      </c>
      <c r="R114" s="70">
        <f t="shared" si="48"/>
        <v>0</v>
      </c>
      <c r="S114" s="70">
        <f t="shared" si="48"/>
        <v>0</v>
      </c>
      <c r="T114" s="70">
        <f t="shared" si="48"/>
        <v>1528</v>
      </c>
      <c r="U114" s="70">
        <f t="shared" si="48"/>
        <v>1528</v>
      </c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</row>
    <row r="115" spans="1:63" s="12" customFormat="1" ht="36" customHeight="1">
      <c r="A115" s="67" t="s">
        <v>129</v>
      </c>
      <c r="B115" s="68" t="s">
        <v>135</v>
      </c>
      <c r="C115" s="68" t="s">
        <v>139</v>
      </c>
      <c r="D115" s="69" t="s">
        <v>207</v>
      </c>
      <c r="E115" s="68" t="s">
        <v>130</v>
      </c>
      <c r="F115" s="59">
        <v>1563</v>
      </c>
      <c r="G115" s="59">
        <f>H115-F115</f>
        <v>218</v>
      </c>
      <c r="H115" s="59">
        <v>1781</v>
      </c>
      <c r="I115" s="59"/>
      <c r="J115" s="59">
        <v>1911</v>
      </c>
      <c r="K115" s="56"/>
      <c r="L115" s="56"/>
      <c r="M115" s="59">
        <v>1911</v>
      </c>
      <c r="N115" s="59">
        <f>O115-M115</f>
        <v>-383</v>
      </c>
      <c r="O115" s="59">
        <v>1528</v>
      </c>
      <c r="P115" s="59"/>
      <c r="Q115" s="59">
        <v>1528</v>
      </c>
      <c r="R115" s="82"/>
      <c r="S115" s="82"/>
      <c r="T115" s="59">
        <f>O115+R115</f>
        <v>1528</v>
      </c>
      <c r="U115" s="59">
        <f>Q115+S115</f>
        <v>1528</v>
      </c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</row>
    <row r="116" spans="1:63" s="12" customFormat="1" ht="19.5" customHeight="1">
      <c r="A116" s="67"/>
      <c r="B116" s="68"/>
      <c r="C116" s="68"/>
      <c r="D116" s="69"/>
      <c r="E116" s="68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82"/>
      <c r="S116" s="82"/>
      <c r="T116" s="82"/>
      <c r="U116" s="82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</row>
    <row r="117" spans="1:63" s="14" customFormat="1" ht="39" customHeight="1">
      <c r="A117" s="53" t="s">
        <v>42</v>
      </c>
      <c r="B117" s="54" t="s">
        <v>135</v>
      </c>
      <c r="C117" s="54" t="s">
        <v>141</v>
      </c>
      <c r="D117" s="65"/>
      <c r="E117" s="54"/>
      <c r="F117" s="66">
        <f>F118+F121+F123+F125+F129</f>
        <v>87025</v>
      </c>
      <c r="G117" s="66">
        <f aca="true" t="shared" si="49" ref="G117:O117">G118+G121+G123+G125+G129+G133</f>
        <v>-4266</v>
      </c>
      <c r="H117" s="66">
        <f t="shared" si="49"/>
        <v>82759</v>
      </c>
      <c r="I117" s="66">
        <f t="shared" si="49"/>
        <v>0</v>
      </c>
      <c r="J117" s="66">
        <f t="shared" si="49"/>
        <v>81388</v>
      </c>
      <c r="K117" s="66">
        <f t="shared" si="49"/>
        <v>0</v>
      </c>
      <c r="L117" s="66">
        <f t="shared" si="49"/>
        <v>0</v>
      </c>
      <c r="M117" s="66">
        <f t="shared" si="49"/>
        <v>81388</v>
      </c>
      <c r="N117" s="66">
        <f t="shared" si="49"/>
        <v>-23940</v>
      </c>
      <c r="O117" s="66">
        <f t="shared" si="49"/>
        <v>57448</v>
      </c>
      <c r="P117" s="66">
        <f aca="true" t="shared" si="50" ref="P117:U117">P118+P121+P123+P125+P129+P133</f>
        <v>0</v>
      </c>
      <c r="Q117" s="66">
        <f t="shared" si="50"/>
        <v>52318</v>
      </c>
      <c r="R117" s="66">
        <f t="shared" si="50"/>
        <v>-200</v>
      </c>
      <c r="S117" s="66">
        <f t="shared" si="50"/>
        <v>0</v>
      </c>
      <c r="T117" s="66">
        <f t="shared" si="50"/>
        <v>57248</v>
      </c>
      <c r="U117" s="66">
        <f t="shared" si="50"/>
        <v>52318</v>
      </c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</row>
    <row r="118" spans="1:63" s="14" customFormat="1" ht="68.25" customHeight="1">
      <c r="A118" s="67" t="s">
        <v>133</v>
      </c>
      <c r="B118" s="68" t="s">
        <v>135</v>
      </c>
      <c r="C118" s="68" t="s">
        <v>141</v>
      </c>
      <c r="D118" s="69" t="s">
        <v>124</v>
      </c>
      <c r="E118" s="54"/>
      <c r="F118" s="70">
        <f aca="true" t="shared" si="51" ref="F118:O118">F119+F120</f>
        <v>42927</v>
      </c>
      <c r="G118" s="70">
        <f t="shared" si="51"/>
        <v>1276</v>
      </c>
      <c r="H118" s="70">
        <f t="shared" si="51"/>
        <v>44203</v>
      </c>
      <c r="I118" s="70">
        <f t="shared" si="51"/>
        <v>0</v>
      </c>
      <c r="J118" s="70">
        <f t="shared" si="51"/>
        <v>40725</v>
      </c>
      <c r="K118" s="70">
        <f t="shared" si="51"/>
        <v>0</v>
      </c>
      <c r="L118" s="70">
        <f t="shared" si="51"/>
        <v>0</v>
      </c>
      <c r="M118" s="70">
        <f t="shared" si="51"/>
        <v>40725</v>
      </c>
      <c r="N118" s="70">
        <f t="shared" si="51"/>
        <v>3743</v>
      </c>
      <c r="O118" s="70">
        <f t="shared" si="51"/>
        <v>44468</v>
      </c>
      <c r="P118" s="70">
        <f aca="true" t="shared" si="52" ref="P118:U118">P119+P120</f>
        <v>0</v>
      </c>
      <c r="Q118" s="70">
        <f t="shared" si="52"/>
        <v>39957</v>
      </c>
      <c r="R118" s="70">
        <f t="shared" si="52"/>
        <v>0</v>
      </c>
      <c r="S118" s="70">
        <f t="shared" si="52"/>
        <v>0</v>
      </c>
      <c r="T118" s="70">
        <f t="shared" si="52"/>
        <v>44468</v>
      </c>
      <c r="U118" s="70">
        <f t="shared" si="52"/>
        <v>39957</v>
      </c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</row>
    <row r="119" spans="1:63" s="14" customFormat="1" ht="69.75" customHeight="1" hidden="1">
      <c r="A119" s="67" t="s">
        <v>258</v>
      </c>
      <c r="B119" s="68" t="s">
        <v>135</v>
      </c>
      <c r="C119" s="68" t="s">
        <v>141</v>
      </c>
      <c r="D119" s="69" t="s">
        <v>124</v>
      </c>
      <c r="E119" s="68" t="s">
        <v>138</v>
      </c>
      <c r="F119" s="59">
        <v>42927</v>
      </c>
      <c r="G119" s="59">
        <f>H119-F119</f>
        <v>-42927</v>
      </c>
      <c r="H119" s="80"/>
      <c r="I119" s="80"/>
      <c r="J119" s="80"/>
      <c r="K119" s="80"/>
      <c r="L119" s="80"/>
      <c r="M119" s="59"/>
      <c r="N119" s="60"/>
      <c r="O119" s="59"/>
      <c r="P119" s="59"/>
      <c r="Q119" s="59"/>
      <c r="R119" s="79"/>
      <c r="S119" s="79"/>
      <c r="T119" s="79"/>
      <c r="U119" s="79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</row>
    <row r="120" spans="1:63" s="14" customFormat="1" ht="36.75" customHeight="1">
      <c r="A120" s="67" t="s">
        <v>231</v>
      </c>
      <c r="B120" s="68" t="s">
        <v>135</v>
      </c>
      <c r="C120" s="68" t="s">
        <v>141</v>
      </c>
      <c r="D120" s="69" t="s">
        <v>124</v>
      </c>
      <c r="E120" s="68" t="s">
        <v>232</v>
      </c>
      <c r="F120" s="59"/>
      <c r="G120" s="59">
        <f>H120-F120</f>
        <v>44203</v>
      </c>
      <c r="H120" s="59">
        <v>44203</v>
      </c>
      <c r="I120" s="59"/>
      <c r="J120" s="59">
        <v>40725</v>
      </c>
      <c r="K120" s="80"/>
      <c r="L120" s="80"/>
      <c r="M120" s="59">
        <v>40725</v>
      </c>
      <c r="N120" s="59">
        <f>O120-M120</f>
        <v>3743</v>
      </c>
      <c r="O120" s="59">
        <v>44468</v>
      </c>
      <c r="P120" s="59"/>
      <c r="Q120" s="59">
        <v>39957</v>
      </c>
      <c r="R120" s="79"/>
      <c r="S120" s="79"/>
      <c r="T120" s="59">
        <f>O120+R120</f>
        <v>44468</v>
      </c>
      <c r="U120" s="59">
        <f>Q120+S120</f>
        <v>39957</v>
      </c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</row>
    <row r="121" spans="1:63" s="16" customFormat="1" ht="52.5" customHeight="1">
      <c r="A121" s="67" t="s">
        <v>150</v>
      </c>
      <c r="B121" s="68" t="s">
        <v>135</v>
      </c>
      <c r="C121" s="68" t="s">
        <v>141</v>
      </c>
      <c r="D121" s="69" t="s">
        <v>38</v>
      </c>
      <c r="E121" s="68"/>
      <c r="F121" s="70">
        <f aca="true" t="shared" si="53" ref="F121:U121">F122</f>
        <v>1259</v>
      </c>
      <c r="G121" s="70">
        <f t="shared" si="53"/>
        <v>41</v>
      </c>
      <c r="H121" s="70">
        <f t="shared" si="53"/>
        <v>1300</v>
      </c>
      <c r="I121" s="70">
        <f t="shared" si="53"/>
        <v>0</v>
      </c>
      <c r="J121" s="70">
        <f t="shared" si="53"/>
        <v>1300</v>
      </c>
      <c r="K121" s="70">
        <f t="shared" si="53"/>
        <v>0</v>
      </c>
      <c r="L121" s="70">
        <f t="shared" si="53"/>
        <v>0</v>
      </c>
      <c r="M121" s="70">
        <f t="shared" si="53"/>
        <v>1300</v>
      </c>
      <c r="N121" s="70">
        <f t="shared" si="53"/>
        <v>400</v>
      </c>
      <c r="O121" s="70">
        <f t="shared" si="53"/>
        <v>1700</v>
      </c>
      <c r="P121" s="70">
        <f t="shared" si="53"/>
        <v>0</v>
      </c>
      <c r="Q121" s="70">
        <f t="shared" si="53"/>
        <v>1700</v>
      </c>
      <c r="R121" s="70">
        <f t="shared" si="53"/>
        <v>-200</v>
      </c>
      <c r="S121" s="70">
        <f t="shared" si="53"/>
        <v>0</v>
      </c>
      <c r="T121" s="70">
        <f t="shared" si="53"/>
        <v>1500</v>
      </c>
      <c r="U121" s="70">
        <f t="shared" si="53"/>
        <v>1700</v>
      </c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</row>
    <row r="122" spans="1:63" s="10" customFormat="1" ht="87" customHeight="1">
      <c r="A122" s="67" t="s">
        <v>256</v>
      </c>
      <c r="B122" s="68" t="s">
        <v>135</v>
      </c>
      <c r="C122" s="68" t="s">
        <v>141</v>
      </c>
      <c r="D122" s="69" t="s">
        <v>38</v>
      </c>
      <c r="E122" s="68" t="s">
        <v>151</v>
      </c>
      <c r="F122" s="59">
        <v>1259</v>
      </c>
      <c r="G122" s="59">
        <f>H122-F122</f>
        <v>41</v>
      </c>
      <c r="H122" s="59">
        <v>1300</v>
      </c>
      <c r="I122" s="59"/>
      <c r="J122" s="59">
        <v>1300</v>
      </c>
      <c r="K122" s="94"/>
      <c r="L122" s="94"/>
      <c r="M122" s="59">
        <v>1300</v>
      </c>
      <c r="N122" s="59">
        <f>O122-M122</f>
        <v>400</v>
      </c>
      <c r="O122" s="59">
        <v>1700</v>
      </c>
      <c r="P122" s="59"/>
      <c r="Q122" s="59">
        <v>1700</v>
      </c>
      <c r="R122" s="60">
        <v>-200</v>
      </c>
      <c r="S122" s="64"/>
      <c r="T122" s="59">
        <f>O122+R122</f>
        <v>1500</v>
      </c>
      <c r="U122" s="59">
        <f>Q122+S122</f>
        <v>1700</v>
      </c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</row>
    <row r="123" spans="1:63" s="14" customFormat="1" ht="37.5" customHeight="1">
      <c r="A123" s="67" t="s">
        <v>43</v>
      </c>
      <c r="B123" s="68" t="s">
        <v>135</v>
      </c>
      <c r="C123" s="68" t="s">
        <v>141</v>
      </c>
      <c r="D123" s="69" t="s">
        <v>44</v>
      </c>
      <c r="E123" s="68"/>
      <c r="F123" s="70">
        <f aca="true" t="shared" si="54" ref="F123:L123">F124</f>
        <v>16100</v>
      </c>
      <c r="G123" s="70">
        <f t="shared" si="54"/>
        <v>16419</v>
      </c>
      <c r="H123" s="70">
        <f t="shared" si="54"/>
        <v>32519</v>
      </c>
      <c r="I123" s="70">
        <f t="shared" si="54"/>
        <v>0</v>
      </c>
      <c r="J123" s="70">
        <f t="shared" si="54"/>
        <v>34290</v>
      </c>
      <c r="K123" s="70">
        <f t="shared" si="54"/>
        <v>0</v>
      </c>
      <c r="L123" s="70">
        <f t="shared" si="54"/>
        <v>0</v>
      </c>
      <c r="M123" s="70">
        <f aca="true" t="shared" si="55" ref="M123:U123">M124+M131</f>
        <v>34290</v>
      </c>
      <c r="N123" s="70">
        <f t="shared" si="55"/>
        <v>-23010</v>
      </c>
      <c r="O123" s="70">
        <f t="shared" si="55"/>
        <v>11280</v>
      </c>
      <c r="P123" s="70">
        <f t="shared" si="55"/>
        <v>0</v>
      </c>
      <c r="Q123" s="70">
        <f t="shared" si="55"/>
        <v>10661</v>
      </c>
      <c r="R123" s="70">
        <f t="shared" si="55"/>
        <v>0</v>
      </c>
      <c r="S123" s="70">
        <f t="shared" si="55"/>
        <v>0</v>
      </c>
      <c r="T123" s="70">
        <f t="shared" si="55"/>
        <v>11280</v>
      </c>
      <c r="U123" s="70">
        <f t="shared" si="55"/>
        <v>10661</v>
      </c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</row>
    <row r="124" spans="1:63" s="16" customFormat="1" ht="53.25" customHeight="1">
      <c r="A124" s="67" t="s">
        <v>258</v>
      </c>
      <c r="B124" s="68" t="s">
        <v>135</v>
      </c>
      <c r="C124" s="68" t="s">
        <v>141</v>
      </c>
      <c r="D124" s="69" t="s">
        <v>44</v>
      </c>
      <c r="E124" s="68" t="s">
        <v>138</v>
      </c>
      <c r="F124" s="59">
        <v>16100</v>
      </c>
      <c r="G124" s="59">
        <f>H124-F124</f>
        <v>16419</v>
      </c>
      <c r="H124" s="59">
        <v>32519</v>
      </c>
      <c r="I124" s="59"/>
      <c r="J124" s="59">
        <v>34290</v>
      </c>
      <c r="K124" s="80"/>
      <c r="L124" s="80"/>
      <c r="M124" s="59">
        <v>34290</v>
      </c>
      <c r="N124" s="59">
        <f>O124-M124</f>
        <v>-27378</v>
      </c>
      <c r="O124" s="59">
        <v>6912</v>
      </c>
      <c r="P124" s="59"/>
      <c r="Q124" s="59">
        <v>6293</v>
      </c>
      <c r="R124" s="61"/>
      <c r="S124" s="61"/>
      <c r="T124" s="59">
        <f>O124+R124</f>
        <v>6912</v>
      </c>
      <c r="U124" s="59">
        <f>Q124+S124</f>
        <v>6293</v>
      </c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</row>
    <row r="125" spans="1:63" s="22" customFormat="1" ht="37.5" customHeight="1" hidden="1">
      <c r="A125" s="67" t="s">
        <v>45</v>
      </c>
      <c r="B125" s="68" t="s">
        <v>135</v>
      </c>
      <c r="C125" s="68" t="s">
        <v>141</v>
      </c>
      <c r="D125" s="69" t="s">
        <v>46</v>
      </c>
      <c r="E125" s="68"/>
      <c r="F125" s="70">
        <f aca="true" t="shared" si="56" ref="F125:O125">F126+F127</f>
        <v>22002</v>
      </c>
      <c r="G125" s="70">
        <f t="shared" si="56"/>
        <v>-22002</v>
      </c>
      <c r="H125" s="70">
        <f t="shared" si="56"/>
        <v>0</v>
      </c>
      <c r="I125" s="70">
        <f t="shared" si="56"/>
        <v>0</v>
      </c>
      <c r="J125" s="70">
        <f t="shared" si="56"/>
        <v>0</v>
      </c>
      <c r="K125" s="70">
        <f t="shared" si="56"/>
        <v>0</v>
      </c>
      <c r="L125" s="70">
        <f t="shared" si="56"/>
        <v>0</v>
      </c>
      <c r="M125" s="70">
        <f t="shared" si="56"/>
        <v>0</v>
      </c>
      <c r="N125" s="70">
        <f t="shared" si="56"/>
        <v>0</v>
      </c>
      <c r="O125" s="70">
        <f t="shared" si="56"/>
        <v>0</v>
      </c>
      <c r="P125" s="70">
        <f>P126+P127</f>
        <v>0</v>
      </c>
      <c r="Q125" s="70">
        <f>Q126+Q127</f>
        <v>0</v>
      </c>
      <c r="R125" s="95"/>
      <c r="S125" s="95"/>
      <c r="T125" s="95"/>
      <c r="U125" s="95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</row>
    <row r="126" spans="1:63" s="24" customFormat="1" ht="72.75" customHeight="1" hidden="1">
      <c r="A126" s="67" t="s">
        <v>258</v>
      </c>
      <c r="B126" s="68" t="s">
        <v>135</v>
      </c>
      <c r="C126" s="68" t="s">
        <v>141</v>
      </c>
      <c r="D126" s="69" t="s">
        <v>46</v>
      </c>
      <c r="E126" s="68" t="s">
        <v>138</v>
      </c>
      <c r="F126" s="59">
        <v>22002</v>
      </c>
      <c r="G126" s="59">
        <f>H126-F126</f>
        <v>-22002</v>
      </c>
      <c r="H126" s="96"/>
      <c r="I126" s="96"/>
      <c r="J126" s="96"/>
      <c r="K126" s="96"/>
      <c r="L126" s="96"/>
      <c r="M126" s="59"/>
      <c r="N126" s="60"/>
      <c r="O126" s="59"/>
      <c r="P126" s="59"/>
      <c r="Q126" s="59"/>
      <c r="R126" s="97"/>
      <c r="S126" s="97"/>
      <c r="T126" s="97"/>
      <c r="U126" s="97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</row>
    <row r="127" spans="1:63" s="24" customFormat="1" ht="72.75" customHeight="1" hidden="1">
      <c r="A127" s="67" t="s">
        <v>233</v>
      </c>
      <c r="B127" s="68" t="s">
        <v>135</v>
      </c>
      <c r="C127" s="68" t="s">
        <v>141</v>
      </c>
      <c r="D127" s="69" t="s">
        <v>234</v>
      </c>
      <c r="E127" s="68"/>
      <c r="F127" s="70">
        <f>F128</f>
        <v>0</v>
      </c>
      <c r="G127" s="70">
        <f>G128</f>
        <v>0</v>
      </c>
      <c r="H127" s="70">
        <f>H128</f>
        <v>0</v>
      </c>
      <c r="I127" s="70">
        <f>I128</f>
        <v>0</v>
      </c>
      <c r="J127" s="70">
        <f>J128</f>
        <v>0</v>
      </c>
      <c r="K127" s="96"/>
      <c r="L127" s="96"/>
      <c r="M127" s="96"/>
      <c r="N127" s="96"/>
      <c r="O127" s="96"/>
      <c r="P127" s="96"/>
      <c r="Q127" s="96"/>
      <c r="R127" s="97"/>
      <c r="S127" s="97"/>
      <c r="T127" s="97"/>
      <c r="U127" s="97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</row>
    <row r="128" spans="1:63" s="24" customFormat="1" ht="111.75" customHeight="1" hidden="1">
      <c r="A128" s="67" t="s">
        <v>156</v>
      </c>
      <c r="B128" s="68" t="s">
        <v>135</v>
      </c>
      <c r="C128" s="68" t="s">
        <v>141</v>
      </c>
      <c r="D128" s="69" t="s">
        <v>234</v>
      </c>
      <c r="E128" s="68" t="s">
        <v>143</v>
      </c>
      <c r="F128" s="70"/>
      <c r="G128" s="59">
        <f>H128-F128</f>
        <v>0</v>
      </c>
      <c r="H128" s="70">
        <f>32519-32519</f>
        <v>0</v>
      </c>
      <c r="I128" s="70"/>
      <c r="J128" s="70">
        <f>34290-34290</f>
        <v>0</v>
      </c>
      <c r="K128" s="96"/>
      <c r="L128" s="96"/>
      <c r="M128" s="96"/>
      <c r="N128" s="96"/>
      <c r="O128" s="96"/>
      <c r="P128" s="96"/>
      <c r="Q128" s="96"/>
      <c r="R128" s="97"/>
      <c r="S128" s="97"/>
      <c r="T128" s="97"/>
      <c r="U128" s="97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</row>
    <row r="129" spans="1:63" s="26" customFormat="1" ht="24.75" customHeight="1" hidden="1">
      <c r="A129" s="67" t="s">
        <v>47</v>
      </c>
      <c r="B129" s="68" t="s">
        <v>135</v>
      </c>
      <c r="C129" s="68" t="s">
        <v>141</v>
      </c>
      <c r="D129" s="69" t="s">
        <v>48</v>
      </c>
      <c r="E129" s="68"/>
      <c r="F129" s="70">
        <f aca="true" t="shared" si="57" ref="F129:Q129">F130</f>
        <v>4737</v>
      </c>
      <c r="G129" s="70">
        <f t="shared" si="57"/>
        <v>-4737</v>
      </c>
      <c r="H129" s="70">
        <f t="shared" si="57"/>
        <v>0</v>
      </c>
      <c r="I129" s="70">
        <f t="shared" si="57"/>
        <v>0</v>
      </c>
      <c r="J129" s="70">
        <f t="shared" si="57"/>
        <v>0</v>
      </c>
      <c r="K129" s="70">
        <f t="shared" si="57"/>
        <v>0</v>
      </c>
      <c r="L129" s="70">
        <f t="shared" si="57"/>
        <v>0</v>
      </c>
      <c r="M129" s="70">
        <f t="shared" si="57"/>
        <v>0</v>
      </c>
      <c r="N129" s="70">
        <f t="shared" si="57"/>
        <v>0</v>
      </c>
      <c r="O129" s="70">
        <f t="shared" si="57"/>
        <v>0</v>
      </c>
      <c r="P129" s="70">
        <f t="shared" si="57"/>
        <v>0</v>
      </c>
      <c r="Q129" s="70">
        <f t="shared" si="57"/>
        <v>0</v>
      </c>
      <c r="R129" s="98"/>
      <c r="S129" s="98"/>
      <c r="T129" s="98"/>
      <c r="U129" s="98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</row>
    <row r="130" spans="1:63" s="26" customFormat="1" ht="5.25" customHeight="1" hidden="1">
      <c r="A130" s="67" t="s">
        <v>137</v>
      </c>
      <c r="B130" s="68" t="s">
        <v>135</v>
      </c>
      <c r="C130" s="68" t="s">
        <v>141</v>
      </c>
      <c r="D130" s="69" t="s">
        <v>48</v>
      </c>
      <c r="E130" s="68" t="s">
        <v>138</v>
      </c>
      <c r="F130" s="59">
        <v>4737</v>
      </c>
      <c r="G130" s="59">
        <f>H130-F130</f>
        <v>-4737</v>
      </c>
      <c r="H130" s="59">
        <f>4737-4737</f>
        <v>0</v>
      </c>
      <c r="I130" s="59"/>
      <c r="J130" s="59">
        <f>5073-5073</f>
        <v>0</v>
      </c>
      <c r="K130" s="98"/>
      <c r="L130" s="98"/>
      <c r="M130" s="59"/>
      <c r="N130" s="60"/>
      <c r="O130" s="59"/>
      <c r="P130" s="59"/>
      <c r="Q130" s="59"/>
      <c r="R130" s="98"/>
      <c r="S130" s="98"/>
      <c r="T130" s="98"/>
      <c r="U130" s="98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</row>
    <row r="131" spans="1:63" s="26" customFormat="1" ht="120" customHeight="1">
      <c r="A131" s="99" t="s">
        <v>266</v>
      </c>
      <c r="B131" s="68" t="s">
        <v>135</v>
      </c>
      <c r="C131" s="68" t="s">
        <v>141</v>
      </c>
      <c r="D131" s="69" t="s">
        <v>267</v>
      </c>
      <c r="E131" s="68"/>
      <c r="F131" s="59"/>
      <c r="G131" s="59"/>
      <c r="H131" s="59"/>
      <c r="I131" s="59"/>
      <c r="J131" s="59"/>
      <c r="K131" s="98"/>
      <c r="L131" s="98"/>
      <c r="M131" s="59">
        <f aca="true" t="shared" si="58" ref="M131:U131">M132</f>
        <v>0</v>
      </c>
      <c r="N131" s="59">
        <f t="shared" si="58"/>
        <v>4368</v>
      </c>
      <c r="O131" s="59">
        <f t="shared" si="58"/>
        <v>4368</v>
      </c>
      <c r="P131" s="59">
        <f t="shared" si="58"/>
        <v>0</v>
      </c>
      <c r="Q131" s="59">
        <f t="shared" si="58"/>
        <v>4368</v>
      </c>
      <c r="R131" s="59">
        <f t="shared" si="58"/>
        <v>0</v>
      </c>
      <c r="S131" s="59">
        <f t="shared" si="58"/>
        <v>0</v>
      </c>
      <c r="T131" s="59">
        <f t="shared" si="58"/>
        <v>4368</v>
      </c>
      <c r="U131" s="59">
        <f t="shared" si="58"/>
        <v>4368</v>
      </c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</row>
    <row r="132" spans="1:63" s="26" customFormat="1" ht="84.75" customHeight="1">
      <c r="A132" s="67" t="s">
        <v>305</v>
      </c>
      <c r="B132" s="68" t="s">
        <v>135</v>
      </c>
      <c r="C132" s="68" t="s">
        <v>141</v>
      </c>
      <c r="D132" s="69" t="s">
        <v>267</v>
      </c>
      <c r="E132" s="68" t="s">
        <v>241</v>
      </c>
      <c r="F132" s="59"/>
      <c r="G132" s="59"/>
      <c r="H132" s="59"/>
      <c r="I132" s="59"/>
      <c r="J132" s="59"/>
      <c r="K132" s="98"/>
      <c r="L132" s="98"/>
      <c r="M132" s="59"/>
      <c r="N132" s="59">
        <f>O132-M132</f>
        <v>4368</v>
      </c>
      <c r="O132" s="59">
        <v>4368</v>
      </c>
      <c r="P132" s="59"/>
      <c r="Q132" s="59">
        <v>4368</v>
      </c>
      <c r="R132" s="98"/>
      <c r="S132" s="98"/>
      <c r="T132" s="59">
        <f>O132+R132</f>
        <v>4368</v>
      </c>
      <c r="U132" s="59">
        <f>Q132+S132</f>
        <v>4368</v>
      </c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</row>
    <row r="133" spans="1:63" s="26" customFormat="1" ht="23.25" customHeight="1" hidden="1">
      <c r="A133" s="67" t="s">
        <v>121</v>
      </c>
      <c r="B133" s="68" t="s">
        <v>135</v>
      </c>
      <c r="C133" s="68" t="s">
        <v>141</v>
      </c>
      <c r="D133" s="69" t="s">
        <v>122</v>
      </c>
      <c r="E133" s="68"/>
      <c r="F133" s="59"/>
      <c r="G133" s="59">
        <f aca="true" t="shared" si="59" ref="G133:Q133">G134</f>
        <v>4737</v>
      </c>
      <c r="H133" s="59">
        <f t="shared" si="59"/>
        <v>4737</v>
      </c>
      <c r="I133" s="59">
        <f t="shared" si="59"/>
        <v>0</v>
      </c>
      <c r="J133" s="59">
        <f t="shared" si="59"/>
        <v>5073</v>
      </c>
      <c r="K133" s="59">
        <f t="shared" si="59"/>
        <v>0</v>
      </c>
      <c r="L133" s="59">
        <f t="shared" si="59"/>
        <v>0</v>
      </c>
      <c r="M133" s="59">
        <f t="shared" si="59"/>
        <v>5073</v>
      </c>
      <c r="N133" s="59">
        <f t="shared" si="59"/>
        <v>-5073</v>
      </c>
      <c r="O133" s="59">
        <f t="shared" si="59"/>
        <v>0</v>
      </c>
      <c r="P133" s="59">
        <f t="shared" si="59"/>
        <v>0</v>
      </c>
      <c r="Q133" s="59">
        <f t="shared" si="59"/>
        <v>0</v>
      </c>
      <c r="R133" s="98"/>
      <c r="S133" s="98"/>
      <c r="T133" s="98"/>
      <c r="U133" s="98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</row>
    <row r="134" spans="1:63" s="26" customFormat="1" ht="51.75" customHeight="1" hidden="1">
      <c r="A134" s="67" t="s">
        <v>137</v>
      </c>
      <c r="B134" s="68" t="s">
        <v>135</v>
      </c>
      <c r="C134" s="68" t="s">
        <v>141</v>
      </c>
      <c r="D134" s="69" t="s">
        <v>122</v>
      </c>
      <c r="E134" s="68" t="s">
        <v>138</v>
      </c>
      <c r="F134" s="59"/>
      <c r="G134" s="59">
        <f>H134-F134</f>
        <v>4737</v>
      </c>
      <c r="H134" s="59">
        <v>4737</v>
      </c>
      <c r="I134" s="59"/>
      <c r="J134" s="59">
        <v>5073</v>
      </c>
      <c r="K134" s="98"/>
      <c r="L134" s="98"/>
      <c r="M134" s="59">
        <v>5073</v>
      </c>
      <c r="N134" s="59">
        <f>O134-M134</f>
        <v>-5073</v>
      </c>
      <c r="O134" s="59"/>
      <c r="P134" s="59"/>
      <c r="Q134" s="59"/>
      <c r="R134" s="98"/>
      <c r="S134" s="98"/>
      <c r="T134" s="98"/>
      <c r="U134" s="98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</row>
    <row r="135" spans="1:21" ht="15">
      <c r="A135" s="83"/>
      <c r="B135" s="84"/>
      <c r="C135" s="84"/>
      <c r="D135" s="85"/>
      <c r="E135" s="84"/>
      <c r="F135" s="45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</row>
    <row r="136" spans="1:63" s="8" customFormat="1" ht="40.5">
      <c r="A136" s="48" t="s">
        <v>49</v>
      </c>
      <c r="B136" s="49" t="s">
        <v>50</v>
      </c>
      <c r="C136" s="49"/>
      <c r="D136" s="50"/>
      <c r="E136" s="49"/>
      <c r="F136" s="87" t="e">
        <f aca="true" t="shared" si="60" ref="F136:Q136">F138+F163+F181+F202</f>
        <v>#REF!</v>
      </c>
      <c r="G136" s="87" t="e">
        <f t="shared" si="60"/>
        <v>#REF!</v>
      </c>
      <c r="H136" s="87" t="e">
        <f t="shared" si="60"/>
        <v>#REF!</v>
      </c>
      <c r="I136" s="87" t="e">
        <f t="shared" si="60"/>
        <v>#REF!</v>
      </c>
      <c r="J136" s="87" t="e">
        <f t="shared" si="60"/>
        <v>#REF!</v>
      </c>
      <c r="K136" s="87" t="e">
        <f t="shared" si="60"/>
        <v>#REF!</v>
      </c>
      <c r="L136" s="87" t="e">
        <f t="shared" si="60"/>
        <v>#REF!</v>
      </c>
      <c r="M136" s="87" t="e">
        <f t="shared" si="60"/>
        <v>#REF!</v>
      </c>
      <c r="N136" s="87">
        <f t="shared" si="60"/>
        <v>-1014800</v>
      </c>
      <c r="O136" s="87">
        <f t="shared" si="60"/>
        <v>784256</v>
      </c>
      <c r="P136" s="87">
        <f t="shared" si="60"/>
        <v>0</v>
      </c>
      <c r="Q136" s="87">
        <f t="shared" si="60"/>
        <v>786069</v>
      </c>
      <c r="R136" s="87">
        <f>R138+R163+R181+R202</f>
        <v>0</v>
      </c>
      <c r="S136" s="87">
        <f>S138+S163+S181+S202</f>
        <v>0</v>
      </c>
      <c r="T136" s="87">
        <f>T138+T163+T181+T202</f>
        <v>784256</v>
      </c>
      <c r="U136" s="87">
        <f>U138+U163+U181+U202</f>
        <v>786069</v>
      </c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</row>
    <row r="137" spans="1:21" ht="16.5">
      <c r="A137" s="83"/>
      <c r="B137" s="84"/>
      <c r="C137" s="84"/>
      <c r="D137" s="85"/>
      <c r="E137" s="84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</row>
    <row r="138" spans="1:63" s="12" customFormat="1" ht="18.75">
      <c r="A138" s="100" t="s">
        <v>51</v>
      </c>
      <c r="B138" s="54" t="s">
        <v>158</v>
      </c>
      <c r="C138" s="54" t="s">
        <v>127</v>
      </c>
      <c r="D138" s="65"/>
      <c r="E138" s="68"/>
      <c r="F138" s="56" t="e">
        <f>F144+F154</f>
        <v>#REF!</v>
      </c>
      <c r="G138" s="56" t="e">
        <f aca="true" t="shared" si="61" ref="G138:L138">G141+G144+G154</f>
        <v>#REF!</v>
      </c>
      <c r="H138" s="56" t="e">
        <f t="shared" si="61"/>
        <v>#REF!</v>
      </c>
      <c r="I138" s="56" t="e">
        <f t="shared" si="61"/>
        <v>#REF!</v>
      </c>
      <c r="J138" s="56" t="e">
        <f t="shared" si="61"/>
        <v>#REF!</v>
      </c>
      <c r="K138" s="56" t="e">
        <f t="shared" si="61"/>
        <v>#REF!</v>
      </c>
      <c r="L138" s="56" t="e">
        <f t="shared" si="61"/>
        <v>#REF!</v>
      </c>
      <c r="M138" s="56" t="e">
        <f aca="true" t="shared" si="62" ref="M138:U138">M139+M141+M144+M154</f>
        <v>#REF!</v>
      </c>
      <c r="N138" s="56">
        <f t="shared" si="62"/>
        <v>-170626</v>
      </c>
      <c r="O138" s="56">
        <f t="shared" si="62"/>
        <v>52268</v>
      </c>
      <c r="P138" s="56">
        <f t="shared" si="62"/>
        <v>0</v>
      </c>
      <c r="Q138" s="56">
        <f t="shared" si="62"/>
        <v>52268</v>
      </c>
      <c r="R138" s="56">
        <f t="shared" si="62"/>
        <v>0</v>
      </c>
      <c r="S138" s="56">
        <f t="shared" si="62"/>
        <v>0</v>
      </c>
      <c r="T138" s="56">
        <f t="shared" si="62"/>
        <v>52268</v>
      </c>
      <c r="U138" s="56">
        <f t="shared" si="62"/>
        <v>52268</v>
      </c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</row>
    <row r="139" spans="1:63" s="12" customFormat="1" ht="50.25">
      <c r="A139" s="67" t="s">
        <v>150</v>
      </c>
      <c r="B139" s="68" t="s">
        <v>158</v>
      </c>
      <c r="C139" s="68" t="s">
        <v>127</v>
      </c>
      <c r="D139" s="69" t="s">
        <v>38</v>
      </c>
      <c r="E139" s="68"/>
      <c r="F139" s="56"/>
      <c r="G139" s="56"/>
      <c r="H139" s="56"/>
      <c r="I139" s="56"/>
      <c r="J139" s="56"/>
      <c r="K139" s="56"/>
      <c r="L139" s="56"/>
      <c r="M139" s="56">
        <f aca="true" t="shared" si="63" ref="M139:U139">M140</f>
        <v>0</v>
      </c>
      <c r="N139" s="59">
        <f t="shared" si="63"/>
        <v>4000</v>
      </c>
      <c r="O139" s="59">
        <f t="shared" si="63"/>
        <v>4000</v>
      </c>
      <c r="P139" s="59">
        <f t="shared" si="63"/>
        <v>0</v>
      </c>
      <c r="Q139" s="59">
        <f t="shared" si="63"/>
        <v>4000</v>
      </c>
      <c r="R139" s="59">
        <f t="shared" si="63"/>
        <v>0</v>
      </c>
      <c r="S139" s="59">
        <f t="shared" si="63"/>
        <v>0</v>
      </c>
      <c r="T139" s="59">
        <f t="shared" si="63"/>
        <v>4000</v>
      </c>
      <c r="U139" s="59">
        <f t="shared" si="63"/>
        <v>4000</v>
      </c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</row>
    <row r="140" spans="1:63" s="12" customFormat="1" ht="83.25">
      <c r="A140" s="67" t="s">
        <v>256</v>
      </c>
      <c r="B140" s="68" t="s">
        <v>158</v>
      </c>
      <c r="C140" s="68" t="s">
        <v>127</v>
      </c>
      <c r="D140" s="69" t="s">
        <v>38</v>
      </c>
      <c r="E140" s="68" t="s">
        <v>151</v>
      </c>
      <c r="F140" s="56"/>
      <c r="G140" s="56"/>
      <c r="H140" s="56"/>
      <c r="I140" s="56"/>
      <c r="J140" s="56"/>
      <c r="K140" s="56"/>
      <c r="L140" s="56"/>
      <c r="M140" s="56"/>
      <c r="N140" s="59">
        <f>O140-M140</f>
        <v>4000</v>
      </c>
      <c r="O140" s="59">
        <v>4000</v>
      </c>
      <c r="P140" s="59"/>
      <c r="Q140" s="59">
        <v>4000</v>
      </c>
      <c r="R140" s="82"/>
      <c r="S140" s="82"/>
      <c r="T140" s="59">
        <f>O140+R140</f>
        <v>4000</v>
      </c>
      <c r="U140" s="59">
        <f>Q140+S140</f>
        <v>4000</v>
      </c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</row>
    <row r="141" spans="1:63" s="12" customFormat="1" ht="83.25" hidden="1">
      <c r="A141" s="101" t="s">
        <v>242</v>
      </c>
      <c r="B141" s="68" t="s">
        <v>158</v>
      </c>
      <c r="C141" s="68" t="s">
        <v>127</v>
      </c>
      <c r="D141" s="69" t="s">
        <v>243</v>
      </c>
      <c r="E141" s="68"/>
      <c r="F141" s="56"/>
      <c r="G141" s="59">
        <f>G142</f>
        <v>98400</v>
      </c>
      <c r="H141" s="59">
        <f aca="true" t="shared" si="64" ref="H141:Q142">H142</f>
        <v>98400</v>
      </c>
      <c r="I141" s="59">
        <f t="shared" si="64"/>
        <v>0</v>
      </c>
      <c r="J141" s="59">
        <f t="shared" si="64"/>
        <v>105000</v>
      </c>
      <c r="K141" s="59">
        <f t="shared" si="64"/>
        <v>0</v>
      </c>
      <c r="L141" s="59">
        <f t="shared" si="64"/>
        <v>0</v>
      </c>
      <c r="M141" s="59">
        <f t="shared" si="64"/>
        <v>105000</v>
      </c>
      <c r="N141" s="59">
        <f t="shared" si="64"/>
        <v>-105000</v>
      </c>
      <c r="O141" s="59">
        <f t="shared" si="64"/>
        <v>0</v>
      </c>
      <c r="P141" s="59">
        <f t="shared" si="64"/>
        <v>0</v>
      </c>
      <c r="Q141" s="59">
        <f t="shared" si="64"/>
        <v>0</v>
      </c>
      <c r="R141" s="82"/>
      <c r="S141" s="82"/>
      <c r="T141" s="82"/>
      <c r="U141" s="82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</row>
    <row r="142" spans="1:63" s="12" customFormat="1" ht="52.5" customHeight="1" hidden="1">
      <c r="A142" s="101" t="s">
        <v>244</v>
      </c>
      <c r="B142" s="68" t="s">
        <v>158</v>
      </c>
      <c r="C142" s="68" t="s">
        <v>127</v>
      </c>
      <c r="D142" s="69" t="s">
        <v>245</v>
      </c>
      <c r="E142" s="68"/>
      <c r="F142" s="56"/>
      <c r="G142" s="59">
        <f>G143</f>
        <v>98400</v>
      </c>
      <c r="H142" s="59">
        <f t="shared" si="64"/>
        <v>98400</v>
      </c>
      <c r="I142" s="59">
        <f t="shared" si="64"/>
        <v>0</v>
      </c>
      <c r="J142" s="59">
        <f t="shared" si="64"/>
        <v>105000</v>
      </c>
      <c r="K142" s="59">
        <f t="shared" si="64"/>
        <v>0</v>
      </c>
      <c r="L142" s="59">
        <f t="shared" si="64"/>
        <v>0</v>
      </c>
      <c r="M142" s="59">
        <f t="shared" si="64"/>
        <v>105000</v>
      </c>
      <c r="N142" s="59">
        <f t="shared" si="64"/>
        <v>-105000</v>
      </c>
      <c r="O142" s="59">
        <f t="shared" si="64"/>
        <v>0</v>
      </c>
      <c r="P142" s="59">
        <f t="shared" si="64"/>
        <v>0</v>
      </c>
      <c r="Q142" s="59">
        <f t="shared" si="64"/>
        <v>0</v>
      </c>
      <c r="R142" s="82"/>
      <c r="S142" s="82"/>
      <c r="T142" s="82"/>
      <c r="U142" s="82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</row>
    <row r="143" spans="1:63" s="12" customFormat="1" ht="87.75" customHeight="1" hidden="1">
      <c r="A143" s="67" t="s">
        <v>257</v>
      </c>
      <c r="B143" s="68" t="s">
        <v>158</v>
      </c>
      <c r="C143" s="68" t="s">
        <v>127</v>
      </c>
      <c r="D143" s="69" t="s">
        <v>245</v>
      </c>
      <c r="E143" s="68" t="s">
        <v>143</v>
      </c>
      <c r="F143" s="56"/>
      <c r="G143" s="59">
        <f>H143-F143</f>
        <v>98400</v>
      </c>
      <c r="H143" s="59">
        <v>98400</v>
      </c>
      <c r="I143" s="59"/>
      <c r="J143" s="59">
        <v>105000</v>
      </c>
      <c r="K143" s="56"/>
      <c r="L143" s="56"/>
      <c r="M143" s="59">
        <v>105000</v>
      </c>
      <c r="N143" s="59">
        <f>O143-M143</f>
        <v>-105000</v>
      </c>
      <c r="O143" s="59"/>
      <c r="P143" s="59"/>
      <c r="Q143" s="59"/>
      <c r="R143" s="82"/>
      <c r="S143" s="82"/>
      <c r="T143" s="82"/>
      <c r="U143" s="82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</row>
    <row r="144" spans="1:63" s="12" customFormat="1" ht="28.5" customHeight="1">
      <c r="A144" s="101" t="s">
        <v>177</v>
      </c>
      <c r="B144" s="68" t="s">
        <v>158</v>
      </c>
      <c r="C144" s="68" t="s">
        <v>127</v>
      </c>
      <c r="D144" s="69" t="s">
        <v>52</v>
      </c>
      <c r="E144" s="68"/>
      <c r="F144" s="59" t="e">
        <f>F145+F146+F150+F152+#REF!</f>
        <v>#REF!</v>
      </c>
      <c r="G144" s="59">
        <f aca="true" t="shared" si="65" ref="G144:M144">G145+G146+G150+G152</f>
        <v>-158807</v>
      </c>
      <c r="H144" s="59">
        <f t="shared" si="65"/>
        <v>53275</v>
      </c>
      <c r="I144" s="59">
        <f t="shared" si="65"/>
        <v>0</v>
      </c>
      <c r="J144" s="59">
        <f t="shared" si="65"/>
        <v>59731</v>
      </c>
      <c r="K144" s="59">
        <f t="shared" si="65"/>
        <v>0</v>
      </c>
      <c r="L144" s="59">
        <f t="shared" si="65"/>
        <v>0</v>
      </c>
      <c r="M144" s="59">
        <f t="shared" si="65"/>
        <v>59731</v>
      </c>
      <c r="N144" s="59">
        <f aca="true" t="shared" si="66" ref="N144:U144">N145+N146+N148+N150+N152</f>
        <v>-17583</v>
      </c>
      <c r="O144" s="59">
        <f t="shared" si="66"/>
        <v>42148</v>
      </c>
      <c r="P144" s="59">
        <f t="shared" si="66"/>
        <v>0</v>
      </c>
      <c r="Q144" s="59">
        <f t="shared" si="66"/>
        <v>42148</v>
      </c>
      <c r="R144" s="59">
        <f t="shared" si="66"/>
        <v>0</v>
      </c>
      <c r="S144" s="59">
        <f t="shared" si="66"/>
        <v>0</v>
      </c>
      <c r="T144" s="59">
        <f t="shared" si="66"/>
        <v>42148</v>
      </c>
      <c r="U144" s="59">
        <f t="shared" si="66"/>
        <v>42148</v>
      </c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</row>
    <row r="145" spans="1:63" s="12" customFormat="1" ht="60.75" customHeight="1">
      <c r="A145" s="86" t="s">
        <v>137</v>
      </c>
      <c r="B145" s="68" t="s">
        <v>158</v>
      </c>
      <c r="C145" s="68" t="s">
        <v>127</v>
      </c>
      <c r="D145" s="69" t="s">
        <v>52</v>
      </c>
      <c r="E145" s="68" t="s">
        <v>138</v>
      </c>
      <c r="F145" s="59">
        <v>68234</v>
      </c>
      <c r="G145" s="59">
        <f>H145-F145</f>
        <v>-56893</v>
      </c>
      <c r="H145" s="59">
        <v>11341</v>
      </c>
      <c r="I145" s="59"/>
      <c r="J145" s="59">
        <v>12549</v>
      </c>
      <c r="K145" s="56"/>
      <c r="L145" s="56"/>
      <c r="M145" s="59">
        <v>12549</v>
      </c>
      <c r="N145" s="59">
        <f>O145-M145</f>
        <v>-672</v>
      </c>
      <c r="O145" s="59">
        <v>11877</v>
      </c>
      <c r="P145" s="59"/>
      <c r="Q145" s="59">
        <v>11877</v>
      </c>
      <c r="R145" s="82"/>
      <c r="S145" s="82"/>
      <c r="T145" s="59">
        <f>O145+R145</f>
        <v>11877</v>
      </c>
      <c r="U145" s="59">
        <f>Q145+S145</f>
        <v>11877</v>
      </c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</row>
    <row r="146" spans="1:63" s="12" customFormat="1" ht="86.25" customHeight="1" hidden="1">
      <c r="A146" s="86" t="s">
        <v>212</v>
      </c>
      <c r="B146" s="68" t="s">
        <v>158</v>
      </c>
      <c r="C146" s="68" t="s">
        <v>127</v>
      </c>
      <c r="D146" s="69" t="s">
        <v>187</v>
      </c>
      <c r="E146" s="68"/>
      <c r="F146" s="70">
        <f aca="true" t="shared" si="67" ref="F146:Q146">F147</f>
        <v>21620</v>
      </c>
      <c r="G146" s="70">
        <f t="shared" si="67"/>
        <v>-4743</v>
      </c>
      <c r="H146" s="70">
        <f t="shared" si="67"/>
        <v>16877</v>
      </c>
      <c r="I146" s="70">
        <f t="shared" si="67"/>
        <v>0</v>
      </c>
      <c r="J146" s="70">
        <f t="shared" si="67"/>
        <v>20337</v>
      </c>
      <c r="K146" s="70">
        <f t="shared" si="67"/>
        <v>0</v>
      </c>
      <c r="L146" s="70">
        <f t="shared" si="67"/>
        <v>0</v>
      </c>
      <c r="M146" s="70">
        <f t="shared" si="67"/>
        <v>20337</v>
      </c>
      <c r="N146" s="70">
        <f t="shared" si="67"/>
        <v>-20337</v>
      </c>
      <c r="O146" s="70">
        <f t="shared" si="67"/>
        <v>0</v>
      </c>
      <c r="P146" s="70">
        <f t="shared" si="67"/>
        <v>0</v>
      </c>
      <c r="Q146" s="70">
        <f t="shared" si="67"/>
        <v>0</v>
      </c>
      <c r="R146" s="82"/>
      <c r="S146" s="82"/>
      <c r="T146" s="82"/>
      <c r="U146" s="82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</row>
    <row r="147" spans="1:63" s="14" customFormat="1" ht="86.25" customHeight="1" hidden="1">
      <c r="A147" s="67" t="s">
        <v>257</v>
      </c>
      <c r="B147" s="68" t="s">
        <v>158</v>
      </c>
      <c r="C147" s="68" t="s">
        <v>127</v>
      </c>
      <c r="D147" s="69" t="s">
        <v>187</v>
      </c>
      <c r="E147" s="68" t="s">
        <v>143</v>
      </c>
      <c r="F147" s="59">
        <v>21620</v>
      </c>
      <c r="G147" s="59">
        <f>H147-F147</f>
        <v>-4743</v>
      </c>
      <c r="H147" s="59">
        <v>16877</v>
      </c>
      <c r="I147" s="59"/>
      <c r="J147" s="59">
        <v>20337</v>
      </c>
      <c r="K147" s="80"/>
      <c r="L147" s="80"/>
      <c r="M147" s="59">
        <v>20337</v>
      </c>
      <c r="N147" s="59">
        <f>O147-M147</f>
        <v>-20337</v>
      </c>
      <c r="O147" s="59"/>
      <c r="P147" s="59"/>
      <c r="Q147" s="59"/>
      <c r="R147" s="79"/>
      <c r="S147" s="79"/>
      <c r="T147" s="79"/>
      <c r="U147" s="79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</row>
    <row r="148" spans="1:63" s="14" customFormat="1" ht="118.5" customHeight="1">
      <c r="A148" s="67" t="s">
        <v>269</v>
      </c>
      <c r="B148" s="68" t="s">
        <v>158</v>
      </c>
      <c r="C148" s="68" t="s">
        <v>127</v>
      </c>
      <c r="D148" s="69" t="s">
        <v>187</v>
      </c>
      <c r="E148" s="68"/>
      <c r="F148" s="59"/>
      <c r="G148" s="59"/>
      <c r="H148" s="59"/>
      <c r="I148" s="59"/>
      <c r="J148" s="59"/>
      <c r="K148" s="80"/>
      <c r="L148" s="80"/>
      <c r="M148" s="59"/>
      <c r="N148" s="59">
        <f aca="true" t="shared" si="68" ref="N148:U148">N149</f>
        <v>14405</v>
      </c>
      <c r="O148" s="59">
        <f t="shared" si="68"/>
        <v>14405</v>
      </c>
      <c r="P148" s="59">
        <f t="shared" si="68"/>
        <v>0</v>
      </c>
      <c r="Q148" s="59">
        <f t="shared" si="68"/>
        <v>14405</v>
      </c>
      <c r="R148" s="59">
        <f t="shared" si="68"/>
        <v>0</v>
      </c>
      <c r="S148" s="59">
        <f t="shared" si="68"/>
        <v>0</v>
      </c>
      <c r="T148" s="59">
        <f t="shared" si="68"/>
        <v>14405</v>
      </c>
      <c r="U148" s="59">
        <f t="shared" si="68"/>
        <v>14405</v>
      </c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</row>
    <row r="149" spans="1:63" s="14" customFormat="1" ht="86.25" customHeight="1">
      <c r="A149" s="67" t="s">
        <v>257</v>
      </c>
      <c r="B149" s="68" t="s">
        <v>158</v>
      </c>
      <c r="C149" s="68" t="s">
        <v>127</v>
      </c>
      <c r="D149" s="69" t="s">
        <v>187</v>
      </c>
      <c r="E149" s="68" t="s">
        <v>143</v>
      </c>
      <c r="F149" s="59"/>
      <c r="G149" s="59"/>
      <c r="H149" s="59"/>
      <c r="I149" s="59"/>
      <c r="J149" s="59"/>
      <c r="K149" s="80"/>
      <c r="L149" s="80"/>
      <c r="M149" s="59"/>
      <c r="N149" s="59">
        <f>O149-M149</f>
        <v>14405</v>
      </c>
      <c r="O149" s="59">
        <v>14405</v>
      </c>
      <c r="P149" s="59"/>
      <c r="Q149" s="59">
        <v>14405</v>
      </c>
      <c r="R149" s="79"/>
      <c r="S149" s="79"/>
      <c r="T149" s="59">
        <f>O149+R149</f>
        <v>14405</v>
      </c>
      <c r="U149" s="59">
        <f>Q149+S149</f>
        <v>14405</v>
      </c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</row>
    <row r="150" spans="1:63" s="14" customFormat="1" ht="57" customHeight="1">
      <c r="A150" s="67" t="s">
        <v>268</v>
      </c>
      <c r="B150" s="68" t="s">
        <v>158</v>
      </c>
      <c r="C150" s="68" t="s">
        <v>127</v>
      </c>
      <c r="D150" s="69" t="s">
        <v>188</v>
      </c>
      <c r="E150" s="68"/>
      <c r="F150" s="59">
        <f aca="true" t="shared" si="69" ref="F150:U150">F151</f>
        <v>102576</v>
      </c>
      <c r="G150" s="59">
        <f t="shared" si="69"/>
        <v>-102576</v>
      </c>
      <c r="H150" s="59">
        <f t="shared" si="69"/>
        <v>0</v>
      </c>
      <c r="I150" s="59">
        <f t="shared" si="69"/>
        <v>0</v>
      </c>
      <c r="J150" s="59">
        <f t="shared" si="69"/>
        <v>0</v>
      </c>
      <c r="K150" s="59">
        <f t="shared" si="69"/>
        <v>0</v>
      </c>
      <c r="L150" s="59">
        <f t="shared" si="69"/>
        <v>0</v>
      </c>
      <c r="M150" s="59">
        <f t="shared" si="69"/>
        <v>0</v>
      </c>
      <c r="N150" s="59">
        <f t="shared" si="69"/>
        <v>15866</v>
      </c>
      <c r="O150" s="59">
        <f t="shared" si="69"/>
        <v>15866</v>
      </c>
      <c r="P150" s="59">
        <f t="shared" si="69"/>
        <v>0</v>
      </c>
      <c r="Q150" s="59">
        <f t="shared" si="69"/>
        <v>15866</v>
      </c>
      <c r="R150" s="59">
        <f t="shared" si="69"/>
        <v>0</v>
      </c>
      <c r="S150" s="59">
        <f t="shared" si="69"/>
        <v>0</v>
      </c>
      <c r="T150" s="59">
        <f t="shared" si="69"/>
        <v>15866</v>
      </c>
      <c r="U150" s="59">
        <f t="shared" si="69"/>
        <v>15866</v>
      </c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</row>
    <row r="151" spans="1:63" s="14" customFormat="1" ht="85.5" customHeight="1">
      <c r="A151" s="67" t="s">
        <v>257</v>
      </c>
      <c r="B151" s="68" t="s">
        <v>158</v>
      </c>
      <c r="C151" s="68" t="s">
        <v>127</v>
      </c>
      <c r="D151" s="69" t="s">
        <v>188</v>
      </c>
      <c r="E151" s="68" t="s">
        <v>143</v>
      </c>
      <c r="F151" s="59">
        <v>102576</v>
      </c>
      <c r="G151" s="59">
        <f>H151-F151</f>
        <v>-102576</v>
      </c>
      <c r="H151" s="59">
        <f>108465-108465</f>
        <v>0</v>
      </c>
      <c r="I151" s="59"/>
      <c r="J151" s="59">
        <f>116166-116166</f>
        <v>0</v>
      </c>
      <c r="K151" s="80"/>
      <c r="L151" s="80"/>
      <c r="M151" s="59"/>
      <c r="N151" s="59">
        <f>O151-M151</f>
        <v>15866</v>
      </c>
      <c r="O151" s="59">
        <v>15866</v>
      </c>
      <c r="P151" s="59"/>
      <c r="Q151" s="59">
        <v>15866</v>
      </c>
      <c r="R151" s="79"/>
      <c r="S151" s="79"/>
      <c r="T151" s="59">
        <f>O151+R151</f>
        <v>15866</v>
      </c>
      <c r="U151" s="59">
        <f>Q151+S151</f>
        <v>15866</v>
      </c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</row>
    <row r="152" spans="1:63" s="14" customFormat="1" ht="50.25" customHeight="1" hidden="1">
      <c r="A152" s="67" t="s">
        <v>213</v>
      </c>
      <c r="B152" s="68" t="s">
        <v>158</v>
      </c>
      <c r="C152" s="68" t="s">
        <v>127</v>
      </c>
      <c r="D152" s="69" t="s">
        <v>189</v>
      </c>
      <c r="E152" s="68"/>
      <c r="F152" s="59">
        <f aca="true" t="shared" si="70" ref="F152:Q152">F153</f>
        <v>19652</v>
      </c>
      <c r="G152" s="59">
        <f t="shared" si="70"/>
        <v>5405</v>
      </c>
      <c r="H152" s="59">
        <f t="shared" si="70"/>
        <v>25057</v>
      </c>
      <c r="I152" s="59">
        <f t="shared" si="70"/>
        <v>0</v>
      </c>
      <c r="J152" s="59">
        <f t="shared" si="70"/>
        <v>26845</v>
      </c>
      <c r="K152" s="59">
        <f t="shared" si="70"/>
        <v>0</v>
      </c>
      <c r="L152" s="59">
        <f t="shared" si="70"/>
        <v>0</v>
      </c>
      <c r="M152" s="59">
        <f t="shared" si="70"/>
        <v>26845</v>
      </c>
      <c r="N152" s="59">
        <f t="shared" si="70"/>
        <v>-26845</v>
      </c>
      <c r="O152" s="59">
        <f t="shared" si="70"/>
        <v>0</v>
      </c>
      <c r="P152" s="59">
        <f t="shared" si="70"/>
        <v>0</v>
      </c>
      <c r="Q152" s="59">
        <f t="shared" si="70"/>
        <v>0</v>
      </c>
      <c r="R152" s="79"/>
      <c r="S152" s="79"/>
      <c r="T152" s="79"/>
      <c r="U152" s="79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</row>
    <row r="153" spans="1:63" s="14" customFormat="1" ht="85.5" customHeight="1" hidden="1">
      <c r="A153" s="67" t="s">
        <v>257</v>
      </c>
      <c r="B153" s="68" t="s">
        <v>158</v>
      </c>
      <c r="C153" s="68" t="s">
        <v>127</v>
      </c>
      <c r="D153" s="69" t="s">
        <v>189</v>
      </c>
      <c r="E153" s="68" t="s">
        <v>143</v>
      </c>
      <c r="F153" s="59">
        <v>19652</v>
      </c>
      <c r="G153" s="59">
        <f>H153-F153</f>
        <v>5405</v>
      </c>
      <c r="H153" s="59">
        <v>25057</v>
      </c>
      <c r="I153" s="59"/>
      <c r="J153" s="59">
        <v>26845</v>
      </c>
      <c r="K153" s="80"/>
      <c r="L153" s="80"/>
      <c r="M153" s="59">
        <v>26845</v>
      </c>
      <c r="N153" s="59">
        <f>O153-M153</f>
        <v>-26845</v>
      </c>
      <c r="O153" s="59"/>
      <c r="P153" s="59"/>
      <c r="Q153" s="59"/>
      <c r="R153" s="79"/>
      <c r="S153" s="79"/>
      <c r="T153" s="79"/>
      <c r="U153" s="79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</row>
    <row r="154" spans="1:63" s="10" customFormat="1" ht="24.75" customHeight="1">
      <c r="A154" s="67" t="s">
        <v>121</v>
      </c>
      <c r="B154" s="68" t="s">
        <v>158</v>
      </c>
      <c r="C154" s="68" t="s">
        <v>127</v>
      </c>
      <c r="D154" s="69" t="s">
        <v>122</v>
      </c>
      <c r="E154" s="68"/>
      <c r="F154" s="70" t="e">
        <f>#REF!</f>
        <v>#REF!</v>
      </c>
      <c r="G154" s="70" t="e">
        <f>G155+#REF!</f>
        <v>#REF!</v>
      </c>
      <c r="H154" s="70" t="e">
        <f>H155+#REF!</f>
        <v>#REF!</v>
      </c>
      <c r="I154" s="70" t="e">
        <f>I155+#REF!</f>
        <v>#REF!</v>
      </c>
      <c r="J154" s="70" t="e">
        <f>J155+#REF!</f>
        <v>#REF!</v>
      </c>
      <c r="K154" s="70" t="e">
        <f>K155+#REF!</f>
        <v>#REF!</v>
      </c>
      <c r="L154" s="70" t="e">
        <f>L155+#REF!</f>
        <v>#REF!</v>
      </c>
      <c r="M154" s="70" t="e">
        <f>M155+#REF!</f>
        <v>#REF!</v>
      </c>
      <c r="N154" s="70">
        <f aca="true" t="shared" si="71" ref="N154:U154">N155+N156+N159</f>
        <v>-52043</v>
      </c>
      <c r="O154" s="70">
        <f t="shared" si="71"/>
        <v>6120</v>
      </c>
      <c r="P154" s="70">
        <f t="shared" si="71"/>
        <v>0</v>
      </c>
      <c r="Q154" s="70">
        <f t="shared" si="71"/>
        <v>6120</v>
      </c>
      <c r="R154" s="70">
        <f t="shared" si="71"/>
        <v>0</v>
      </c>
      <c r="S154" s="70">
        <f t="shared" si="71"/>
        <v>0</v>
      </c>
      <c r="T154" s="70">
        <f t="shared" si="71"/>
        <v>6120</v>
      </c>
      <c r="U154" s="70">
        <f t="shared" si="71"/>
        <v>6120</v>
      </c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</row>
    <row r="155" spans="1:63" s="10" customFormat="1" ht="57" customHeight="1" hidden="1">
      <c r="A155" s="86" t="s">
        <v>137</v>
      </c>
      <c r="B155" s="68" t="s">
        <v>158</v>
      </c>
      <c r="C155" s="68" t="s">
        <v>127</v>
      </c>
      <c r="D155" s="69" t="s">
        <v>122</v>
      </c>
      <c r="E155" s="68" t="s">
        <v>138</v>
      </c>
      <c r="F155" s="70"/>
      <c r="G155" s="59">
        <f>H155-F155</f>
        <v>54307</v>
      </c>
      <c r="H155" s="70">
        <v>54307</v>
      </c>
      <c r="I155" s="70"/>
      <c r="J155" s="70">
        <v>58163</v>
      </c>
      <c r="K155" s="94"/>
      <c r="L155" s="94"/>
      <c r="M155" s="59">
        <v>58163</v>
      </c>
      <c r="N155" s="59">
        <f>O155-M155</f>
        <v>-58163</v>
      </c>
      <c r="O155" s="59"/>
      <c r="P155" s="59"/>
      <c r="Q155" s="59"/>
      <c r="R155" s="59"/>
      <c r="S155" s="59"/>
      <c r="T155" s="59"/>
      <c r="U155" s="5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</row>
    <row r="156" spans="1:63" s="10" customFormat="1" ht="84.75" customHeight="1">
      <c r="A156" s="67" t="s">
        <v>303</v>
      </c>
      <c r="B156" s="68" t="s">
        <v>158</v>
      </c>
      <c r="C156" s="68" t="s">
        <v>127</v>
      </c>
      <c r="D156" s="69" t="s">
        <v>293</v>
      </c>
      <c r="E156" s="68"/>
      <c r="F156" s="70"/>
      <c r="G156" s="59"/>
      <c r="H156" s="70"/>
      <c r="I156" s="70"/>
      <c r="J156" s="70"/>
      <c r="K156" s="94"/>
      <c r="L156" s="94"/>
      <c r="M156" s="59"/>
      <c r="N156" s="59">
        <f aca="true" t="shared" si="72" ref="N156:U157">N157</f>
        <v>4080</v>
      </c>
      <c r="O156" s="59">
        <f t="shared" si="72"/>
        <v>4080</v>
      </c>
      <c r="P156" s="59">
        <f t="shared" si="72"/>
        <v>0</v>
      </c>
      <c r="Q156" s="59">
        <f t="shared" si="72"/>
        <v>6120</v>
      </c>
      <c r="R156" s="59">
        <f t="shared" si="72"/>
        <v>0</v>
      </c>
      <c r="S156" s="59">
        <f t="shared" si="72"/>
        <v>0</v>
      </c>
      <c r="T156" s="59">
        <f t="shared" si="72"/>
        <v>4080</v>
      </c>
      <c r="U156" s="59">
        <f t="shared" si="72"/>
        <v>6120</v>
      </c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</row>
    <row r="157" spans="1:63" s="14" customFormat="1" ht="138.75" customHeight="1">
      <c r="A157" s="67" t="s">
        <v>292</v>
      </c>
      <c r="B157" s="68" t="s">
        <v>158</v>
      </c>
      <c r="C157" s="68" t="s">
        <v>127</v>
      </c>
      <c r="D157" s="69" t="s">
        <v>304</v>
      </c>
      <c r="E157" s="68"/>
      <c r="F157" s="59"/>
      <c r="G157" s="59"/>
      <c r="H157" s="79"/>
      <c r="I157" s="79"/>
      <c r="J157" s="79"/>
      <c r="K157" s="79"/>
      <c r="L157" s="79"/>
      <c r="M157" s="59"/>
      <c r="N157" s="59">
        <f t="shared" si="72"/>
        <v>4080</v>
      </c>
      <c r="O157" s="59">
        <f t="shared" si="72"/>
        <v>4080</v>
      </c>
      <c r="P157" s="59">
        <f t="shared" si="72"/>
        <v>0</v>
      </c>
      <c r="Q157" s="59">
        <f t="shared" si="72"/>
        <v>6120</v>
      </c>
      <c r="R157" s="59">
        <f t="shared" si="72"/>
        <v>0</v>
      </c>
      <c r="S157" s="59">
        <f t="shared" si="72"/>
        <v>0</v>
      </c>
      <c r="T157" s="59">
        <f t="shared" si="72"/>
        <v>4080</v>
      </c>
      <c r="U157" s="59">
        <f t="shared" si="72"/>
        <v>6120</v>
      </c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</row>
    <row r="158" spans="1:63" s="14" customFormat="1" ht="85.5" customHeight="1">
      <c r="A158" s="67" t="s">
        <v>257</v>
      </c>
      <c r="B158" s="68" t="s">
        <v>158</v>
      </c>
      <c r="C158" s="68" t="s">
        <v>127</v>
      </c>
      <c r="D158" s="69" t="s">
        <v>304</v>
      </c>
      <c r="E158" s="68" t="s">
        <v>143</v>
      </c>
      <c r="F158" s="59"/>
      <c r="G158" s="59"/>
      <c r="H158" s="79"/>
      <c r="I158" s="79"/>
      <c r="J158" s="79"/>
      <c r="K158" s="79"/>
      <c r="L158" s="79"/>
      <c r="M158" s="59"/>
      <c r="N158" s="59">
        <f>O158-M158</f>
        <v>4080</v>
      </c>
      <c r="O158" s="59">
        <v>4080</v>
      </c>
      <c r="P158" s="59"/>
      <c r="Q158" s="59">
        <f>4080+2040</f>
        <v>6120</v>
      </c>
      <c r="R158" s="79"/>
      <c r="S158" s="79"/>
      <c r="T158" s="59">
        <f>O158+R158</f>
        <v>4080</v>
      </c>
      <c r="U158" s="59">
        <f>Q158+S158</f>
        <v>6120</v>
      </c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</row>
    <row r="159" spans="1:63" s="14" customFormat="1" ht="40.5" customHeight="1">
      <c r="A159" s="67" t="s">
        <v>311</v>
      </c>
      <c r="B159" s="68" t="s">
        <v>158</v>
      </c>
      <c r="C159" s="68" t="s">
        <v>127</v>
      </c>
      <c r="D159" s="69" t="s">
        <v>294</v>
      </c>
      <c r="E159" s="68"/>
      <c r="F159" s="59"/>
      <c r="G159" s="59"/>
      <c r="H159" s="79"/>
      <c r="I159" s="79"/>
      <c r="J159" s="79"/>
      <c r="K159" s="79"/>
      <c r="L159" s="79"/>
      <c r="M159" s="59"/>
      <c r="N159" s="59">
        <f aca="true" t="shared" si="73" ref="N159:U160">N160</f>
        <v>2040</v>
      </c>
      <c r="O159" s="59">
        <f t="shared" si="73"/>
        <v>2040</v>
      </c>
      <c r="P159" s="59">
        <f t="shared" si="73"/>
        <v>0</v>
      </c>
      <c r="Q159" s="59">
        <f t="shared" si="73"/>
        <v>0</v>
      </c>
      <c r="R159" s="59">
        <f t="shared" si="73"/>
        <v>0</v>
      </c>
      <c r="S159" s="59">
        <f t="shared" si="73"/>
        <v>0</v>
      </c>
      <c r="T159" s="59">
        <f t="shared" si="73"/>
        <v>2040</v>
      </c>
      <c r="U159" s="59">
        <f t="shared" si="73"/>
        <v>0</v>
      </c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</row>
    <row r="160" spans="1:63" s="14" customFormat="1" ht="82.5" customHeight="1">
      <c r="A160" s="67" t="s">
        <v>313</v>
      </c>
      <c r="B160" s="68" t="s">
        <v>158</v>
      </c>
      <c r="C160" s="68" t="s">
        <v>127</v>
      </c>
      <c r="D160" s="69" t="s">
        <v>295</v>
      </c>
      <c r="E160" s="68"/>
      <c r="F160" s="59"/>
      <c r="G160" s="59"/>
      <c r="H160" s="79"/>
      <c r="I160" s="79"/>
      <c r="J160" s="79"/>
      <c r="K160" s="79"/>
      <c r="L160" s="79"/>
      <c r="M160" s="59"/>
      <c r="N160" s="59">
        <f t="shared" si="73"/>
        <v>2040</v>
      </c>
      <c r="O160" s="59">
        <f t="shared" si="73"/>
        <v>2040</v>
      </c>
      <c r="P160" s="59">
        <f t="shared" si="73"/>
        <v>0</v>
      </c>
      <c r="Q160" s="59">
        <f t="shared" si="73"/>
        <v>0</v>
      </c>
      <c r="R160" s="59">
        <f t="shared" si="73"/>
        <v>0</v>
      </c>
      <c r="S160" s="59">
        <f t="shared" si="73"/>
        <v>0</v>
      </c>
      <c r="T160" s="59">
        <f t="shared" si="73"/>
        <v>2040</v>
      </c>
      <c r="U160" s="59">
        <f t="shared" si="73"/>
        <v>0</v>
      </c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</row>
    <row r="161" spans="1:63" s="14" customFormat="1" ht="87.75" customHeight="1">
      <c r="A161" s="67" t="s">
        <v>257</v>
      </c>
      <c r="B161" s="68" t="s">
        <v>158</v>
      </c>
      <c r="C161" s="68" t="s">
        <v>127</v>
      </c>
      <c r="D161" s="69" t="s">
        <v>295</v>
      </c>
      <c r="E161" s="68" t="s">
        <v>143</v>
      </c>
      <c r="F161" s="59"/>
      <c r="G161" s="59"/>
      <c r="H161" s="79"/>
      <c r="I161" s="79"/>
      <c r="J161" s="79"/>
      <c r="K161" s="79"/>
      <c r="L161" s="79"/>
      <c r="M161" s="59"/>
      <c r="N161" s="59">
        <f>O161-M161</f>
        <v>2040</v>
      </c>
      <c r="O161" s="59">
        <v>2040</v>
      </c>
      <c r="P161" s="59"/>
      <c r="Q161" s="59"/>
      <c r="R161" s="79"/>
      <c r="S161" s="79"/>
      <c r="T161" s="59">
        <f>O161+R161</f>
        <v>2040</v>
      </c>
      <c r="U161" s="59">
        <f>Q161+S161</f>
        <v>0</v>
      </c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</row>
    <row r="162" spans="1:63" s="16" customFormat="1" ht="20.25" customHeight="1">
      <c r="A162" s="67"/>
      <c r="B162" s="68"/>
      <c r="C162" s="68"/>
      <c r="D162" s="102"/>
      <c r="E162" s="68"/>
      <c r="F162" s="59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</row>
    <row r="163" spans="1:63" s="18" customFormat="1" ht="18.75" customHeight="1">
      <c r="A163" s="53" t="s">
        <v>53</v>
      </c>
      <c r="B163" s="54" t="s">
        <v>158</v>
      </c>
      <c r="C163" s="54" t="s">
        <v>128</v>
      </c>
      <c r="D163" s="65"/>
      <c r="E163" s="54"/>
      <c r="F163" s="66" t="e">
        <f aca="true" t="shared" si="74" ref="F163:O163">F164+F166</f>
        <v>#REF!</v>
      </c>
      <c r="G163" s="66">
        <f t="shared" si="74"/>
        <v>58368</v>
      </c>
      <c r="H163" s="66">
        <f t="shared" si="74"/>
        <v>220971</v>
      </c>
      <c r="I163" s="66">
        <f t="shared" si="74"/>
        <v>0</v>
      </c>
      <c r="J163" s="66">
        <f t="shared" si="74"/>
        <v>236885</v>
      </c>
      <c r="K163" s="66">
        <f t="shared" si="74"/>
        <v>0</v>
      </c>
      <c r="L163" s="66">
        <f t="shared" si="74"/>
        <v>0</v>
      </c>
      <c r="M163" s="66">
        <f t="shared" si="74"/>
        <v>236885</v>
      </c>
      <c r="N163" s="66">
        <f t="shared" si="74"/>
        <v>-74314</v>
      </c>
      <c r="O163" s="66">
        <f t="shared" si="74"/>
        <v>162571</v>
      </c>
      <c r="P163" s="66">
        <f aca="true" t="shared" si="75" ref="P163:U163">P164+P166</f>
        <v>0</v>
      </c>
      <c r="Q163" s="66">
        <f t="shared" si="75"/>
        <v>164384</v>
      </c>
      <c r="R163" s="66">
        <f t="shared" si="75"/>
        <v>0</v>
      </c>
      <c r="S163" s="66">
        <f t="shared" si="75"/>
        <v>0</v>
      </c>
      <c r="T163" s="66">
        <f t="shared" si="75"/>
        <v>162571</v>
      </c>
      <c r="U163" s="66">
        <f t="shared" si="75"/>
        <v>164384</v>
      </c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</row>
    <row r="164" spans="1:63" s="18" customFormat="1" ht="58.5" customHeight="1">
      <c r="A164" s="67" t="s">
        <v>150</v>
      </c>
      <c r="B164" s="68" t="s">
        <v>158</v>
      </c>
      <c r="C164" s="68" t="s">
        <v>128</v>
      </c>
      <c r="D164" s="69" t="s">
        <v>38</v>
      </c>
      <c r="E164" s="68"/>
      <c r="F164" s="70">
        <f aca="true" t="shared" si="76" ref="F164:U164">F165</f>
        <v>17592</v>
      </c>
      <c r="G164" s="70">
        <f t="shared" si="76"/>
        <v>3251</v>
      </c>
      <c r="H164" s="70">
        <f t="shared" si="76"/>
        <v>20843</v>
      </c>
      <c r="I164" s="70">
        <f t="shared" si="76"/>
        <v>0</v>
      </c>
      <c r="J164" s="70">
        <f t="shared" si="76"/>
        <v>22551</v>
      </c>
      <c r="K164" s="70">
        <f t="shared" si="76"/>
        <v>0</v>
      </c>
      <c r="L164" s="70">
        <f t="shared" si="76"/>
        <v>0</v>
      </c>
      <c r="M164" s="70">
        <f t="shared" si="76"/>
        <v>22551</v>
      </c>
      <c r="N164" s="70">
        <f t="shared" si="76"/>
        <v>-21051</v>
      </c>
      <c r="O164" s="70">
        <f t="shared" si="76"/>
        <v>1500</v>
      </c>
      <c r="P164" s="70">
        <f t="shared" si="76"/>
        <v>0</v>
      </c>
      <c r="Q164" s="70">
        <f t="shared" si="76"/>
        <v>3313</v>
      </c>
      <c r="R164" s="70">
        <f t="shared" si="76"/>
        <v>0</v>
      </c>
      <c r="S164" s="70">
        <f t="shared" si="76"/>
        <v>0</v>
      </c>
      <c r="T164" s="70">
        <f t="shared" si="76"/>
        <v>1500</v>
      </c>
      <c r="U164" s="70">
        <f t="shared" si="76"/>
        <v>3313</v>
      </c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</row>
    <row r="165" spans="1:63" s="24" customFormat="1" ht="83.25" customHeight="1">
      <c r="A165" s="67" t="s">
        <v>256</v>
      </c>
      <c r="B165" s="68" t="s">
        <v>158</v>
      </c>
      <c r="C165" s="68" t="s">
        <v>128</v>
      </c>
      <c r="D165" s="69" t="s">
        <v>38</v>
      </c>
      <c r="E165" s="68" t="s">
        <v>151</v>
      </c>
      <c r="F165" s="59">
        <v>17592</v>
      </c>
      <c r="G165" s="59">
        <f>H165-F165</f>
        <v>3251</v>
      </c>
      <c r="H165" s="59">
        <v>20843</v>
      </c>
      <c r="I165" s="59"/>
      <c r="J165" s="59">
        <v>22551</v>
      </c>
      <c r="K165" s="97"/>
      <c r="L165" s="97"/>
      <c r="M165" s="59">
        <v>22551</v>
      </c>
      <c r="N165" s="59">
        <f>O165-M165</f>
        <v>-21051</v>
      </c>
      <c r="O165" s="59">
        <v>1500</v>
      </c>
      <c r="P165" s="59"/>
      <c r="Q165" s="59">
        <v>3313</v>
      </c>
      <c r="R165" s="97"/>
      <c r="S165" s="97"/>
      <c r="T165" s="59">
        <f>O165+R165</f>
        <v>1500</v>
      </c>
      <c r="U165" s="59">
        <f>Q165+S165</f>
        <v>3313</v>
      </c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</row>
    <row r="166" spans="1:63" s="18" customFormat="1" ht="24.75" customHeight="1">
      <c r="A166" s="67" t="s">
        <v>54</v>
      </c>
      <c r="B166" s="68" t="s">
        <v>158</v>
      </c>
      <c r="C166" s="68" t="s">
        <v>128</v>
      </c>
      <c r="D166" s="69" t="s">
        <v>159</v>
      </c>
      <c r="E166" s="68"/>
      <c r="F166" s="70" t="e">
        <f>F167+F168+F172+#REF!</f>
        <v>#REF!</v>
      </c>
      <c r="G166" s="70">
        <f aca="true" t="shared" si="77" ref="G166:M166">G167+G168+G172</f>
        <v>55117</v>
      </c>
      <c r="H166" s="70">
        <f t="shared" si="77"/>
        <v>200128</v>
      </c>
      <c r="I166" s="70">
        <f t="shared" si="77"/>
        <v>0</v>
      </c>
      <c r="J166" s="70">
        <f t="shared" si="77"/>
        <v>214334</v>
      </c>
      <c r="K166" s="70">
        <f t="shared" si="77"/>
        <v>0</v>
      </c>
      <c r="L166" s="70">
        <f t="shared" si="77"/>
        <v>0</v>
      </c>
      <c r="M166" s="70">
        <f t="shared" si="77"/>
        <v>214334</v>
      </c>
      <c r="N166" s="70">
        <f aca="true" t="shared" si="78" ref="N166:U166">N167+N168+N170+N174+N176+N178</f>
        <v>-53263</v>
      </c>
      <c r="O166" s="70">
        <f t="shared" si="78"/>
        <v>161071</v>
      </c>
      <c r="P166" s="70">
        <f t="shared" si="78"/>
        <v>0</v>
      </c>
      <c r="Q166" s="70">
        <f t="shared" si="78"/>
        <v>161071</v>
      </c>
      <c r="R166" s="70">
        <f t="shared" si="78"/>
        <v>0</v>
      </c>
      <c r="S166" s="70">
        <f t="shared" si="78"/>
        <v>0</v>
      </c>
      <c r="T166" s="70">
        <f t="shared" si="78"/>
        <v>161071</v>
      </c>
      <c r="U166" s="70">
        <f t="shared" si="78"/>
        <v>161071</v>
      </c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</row>
    <row r="167" spans="1:63" s="18" customFormat="1" ht="52.5" customHeight="1">
      <c r="A167" s="86" t="s">
        <v>137</v>
      </c>
      <c r="B167" s="68" t="s">
        <v>158</v>
      </c>
      <c r="C167" s="68" t="s">
        <v>128</v>
      </c>
      <c r="D167" s="69" t="s">
        <v>159</v>
      </c>
      <c r="E167" s="68" t="s">
        <v>138</v>
      </c>
      <c r="F167" s="59">
        <v>78580</v>
      </c>
      <c r="G167" s="59">
        <f>H167-F167</f>
        <v>47181</v>
      </c>
      <c r="H167" s="59">
        <v>125761</v>
      </c>
      <c r="I167" s="59"/>
      <c r="J167" s="59">
        <v>134716</v>
      </c>
      <c r="K167" s="73"/>
      <c r="L167" s="73"/>
      <c r="M167" s="59">
        <v>134716</v>
      </c>
      <c r="N167" s="59">
        <f>O167-M167</f>
        <v>-90065</v>
      </c>
      <c r="O167" s="59">
        <f>43835+816</f>
        <v>44651</v>
      </c>
      <c r="P167" s="59"/>
      <c r="Q167" s="59">
        <f>43835+816</f>
        <v>44651</v>
      </c>
      <c r="R167" s="73"/>
      <c r="S167" s="73"/>
      <c r="T167" s="59">
        <f>O167+R167</f>
        <v>44651</v>
      </c>
      <c r="U167" s="59">
        <f>Q167+S167</f>
        <v>44651</v>
      </c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</row>
    <row r="168" spans="1:63" s="18" customFormat="1" ht="34.5" customHeight="1" hidden="1">
      <c r="A168" s="86" t="s">
        <v>190</v>
      </c>
      <c r="B168" s="68" t="s">
        <v>158</v>
      </c>
      <c r="C168" s="68" t="s">
        <v>128</v>
      </c>
      <c r="D168" s="69" t="s">
        <v>191</v>
      </c>
      <c r="E168" s="103"/>
      <c r="F168" s="70">
        <f aca="true" t="shared" si="79" ref="F168:Q168">F169</f>
        <v>66079</v>
      </c>
      <c r="G168" s="70">
        <f t="shared" si="79"/>
        <v>8288</v>
      </c>
      <c r="H168" s="70">
        <f t="shared" si="79"/>
        <v>74367</v>
      </c>
      <c r="I168" s="70">
        <f t="shared" si="79"/>
        <v>0</v>
      </c>
      <c r="J168" s="70">
        <f t="shared" si="79"/>
        <v>79618</v>
      </c>
      <c r="K168" s="70">
        <f t="shared" si="79"/>
        <v>0</v>
      </c>
      <c r="L168" s="70">
        <f t="shared" si="79"/>
        <v>0</v>
      </c>
      <c r="M168" s="70">
        <f t="shared" si="79"/>
        <v>79618</v>
      </c>
      <c r="N168" s="70">
        <f t="shared" si="79"/>
        <v>-79618</v>
      </c>
      <c r="O168" s="70">
        <f t="shared" si="79"/>
        <v>0</v>
      </c>
      <c r="P168" s="70">
        <f t="shared" si="79"/>
        <v>0</v>
      </c>
      <c r="Q168" s="70">
        <f t="shared" si="79"/>
        <v>0</v>
      </c>
      <c r="R168" s="73"/>
      <c r="S168" s="73"/>
      <c r="T168" s="73"/>
      <c r="U168" s="73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</row>
    <row r="169" spans="1:63" s="18" customFormat="1" ht="84.75" customHeight="1" hidden="1">
      <c r="A169" s="86" t="s">
        <v>257</v>
      </c>
      <c r="B169" s="68" t="s">
        <v>158</v>
      </c>
      <c r="C169" s="68" t="s">
        <v>128</v>
      </c>
      <c r="D169" s="69" t="s">
        <v>191</v>
      </c>
      <c r="E169" s="68" t="s">
        <v>143</v>
      </c>
      <c r="F169" s="59">
        <v>66079</v>
      </c>
      <c r="G169" s="59">
        <f>H169-F169</f>
        <v>8288</v>
      </c>
      <c r="H169" s="59">
        <v>74367</v>
      </c>
      <c r="I169" s="59"/>
      <c r="J169" s="59">
        <v>79618</v>
      </c>
      <c r="K169" s="73"/>
      <c r="L169" s="73"/>
      <c r="M169" s="59">
        <v>79618</v>
      </c>
      <c r="N169" s="59">
        <f>O169-M169</f>
        <v>-79618</v>
      </c>
      <c r="O169" s="59"/>
      <c r="P169" s="59"/>
      <c r="Q169" s="59"/>
      <c r="R169" s="73"/>
      <c r="S169" s="73"/>
      <c r="T169" s="73"/>
      <c r="U169" s="73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</row>
    <row r="170" spans="1:63" s="18" customFormat="1" ht="147.75" customHeight="1">
      <c r="A170" s="86" t="s">
        <v>271</v>
      </c>
      <c r="B170" s="68" t="s">
        <v>158</v>
      </c>
      <c r="C170" s="68" t="s">
        <v>128</v>
      </c>
      <c r="D170" s="69" t="s">
        <v>191</v>
      </c>
      <c r="E170" s="68"/>
      <c r="F170" s="59"/>
      <c r="G170" s="59"/>
      <c r="H170" s="59"/>
      <c r="I170" s="59"/>
      <c r="J170" s="59"/>
      <c r="K170" s="73"/>
      <c r="L170" s="73"/>
      <c r="M170" s="59"/>
      <c r="N170" s="59">
        <f aca="true" t="shared" si="80" ref="N170:U170">N171</f>
        <v>69241</v>
      </c>
      <c r="O170" s="59">
        <f t="shared" si="80"/>
        <v>69241</v>
      </c>
      <c r="P170" s="59">
        <f t="shared" si="80"/>
        <v>0</v>
      </c>
      <c r="Q170" s="59">
        <f t="shared" si="80"/>
        <v>69241</v>
      </c>
      <c r="R170" s="59">
        <f t="shared" si="80"/>
        <v>0</v>
      </c>
      <c r="S170" s="59">
        <f t="shared" si="80"/>
        <v>0</v>
      </c>
      <c r="T170" s="59">
        <f t="shared" si="80"/>
        <v>69241</v>
      </c>
      <c r="U170" s="59">
        <f t="shared" si="80"/>
        <v>69241</v>
      </c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</row>
    <row r="171" spans="1:63" s="18" customFormat="1" ht="91.5" customHeight="1">
      <c r="A171" s="86" t="s">
        <v>257</v>
      </c>
      <c r="B171" s="68" t="s">
        <v>158</v>
      </c>
      <c r="C171" s="68" t="s">
        <v>128</v>
      </c>
      <c r="D171" s="69" t="s">
        <v>191</v>
      </c>
      <c r="E171" s="68" t="s">
        <v>143</v>
      </c>
      <c r="F171" s="59"/>
      <c r="G171" s="59"/>
      <c r="H171" s="59"/>
      <c r="I171" s="59"/>
      <c r="J171" s="59"/>
      <c r="K171" s="73"/>
      <c r="L171" s="73"/>
      <c r="M171" s="59"/>
      <c r="N171" s="59">
        <f>O171-M171</f>
        <v>69241</v>
      </c>
      <c r="O171" s="59">
        <v>69241</v>
      </c>
      <c r="P171" s="59"/>
      <c r="Q171" s="59">
        <v>69241</v>
      </c>
      <c r="R171" s="73"/>
      <c r="S171" s="73"/>
      <c r="T171" s="59">
        <f>O171+R171</f>
        <v>69241</v>
      </c>
      <c r="U171" s="59">
        <f>Q171+S171</f>
        <v>69241</v>
      </c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</row>
    <row r="172" spans="1:63" s="18" customFormat="1" ht="53.25" customHeight="1" hidden="1">
      <c r="A172" s="86" t="s">
        <v>270</v>
      </c>
      <c r="B172" s="68" t="s">
        <v>158</v>
      </c>
      <c r="C172" s="68" t="s">
        <v>128</v>
      </c>
      <c r="D172" s="69" t="s">
        <v>192</v>
      </c>
      <c r="E172" s="68"/>
      <c r="F172" s="70">
        <f aca="true" t="shared" si="81" ref="F172:Q172">F173</f>
        <v>352</v>
      </c>
      <c r="G172" s="70">
        <f t="shared" si="81"/>
        <v>-352</v>
      </c>
      <c r="H172" s="70">
        <f t="shared" si="81"/>
        <v>0</v>
      </c>
      <c r="I172" s="70">
        <f t="shared" si="81"/>
        <v>0</v>
      </c>
      <c r="J172" s="70">
        <f t="shared" si="81"/>
        <v>0</v>
      </c>
      <c r="K172" s="70">
        <f t="shared" si="81"/>
        <v>0</v>
      </c>
      <c r="L172" s="70">
        <f t="shared" si="81"/>
        <v>0</v>
      </c>
      <c r="M172" s="70">
        <f t="shared" si="81"/>
        <v>0</v>
      </c>
      <c r="N172" s="70">
        <f>N173</f>
        <v>0</v>
      </c>
      <c r="O172" s="70">
        <f t="shared" si="81"/>
        <v>0</v>
      </c>
      <c r="P172" s="70">
        <f t="shared" si="81"/>
        <v>0</v>
      </c>
      <c r="Q172" s="70">
        <f t="shared" si="81"/>
        <v>0</v>
      </c>
      <c r="R172" s="73"/>
      <c r="S172" s="73"/>
      <c r="T172" s="73"/>
      <c r="U172" s="73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</row>
    <row r="173" spans="1:63" s="18" customFormat="1" ht="10.5" customHeight="1" hidden="1">
      <c r="A173" s="86" t="s">
        <v>257</v>
      </c>
      <c r="B173" s="68" t="s">
        <v>158</v>
      </c>
      <c r="C173" s="68" t="s">
        <v>128</v>
      </c>
      <c r="D173" s="69" t="s">
        <v>192</v>
      </c>
      <c r="E173" s="68" t="s">
        <v>143</v>
      </c>
      <c r="F173" s="59">
        <v>352</v>
      </c>
      <c r="G173" s="59">
        <f>H173-F173</f>
        <v>-352</v>
      </c>
      <c r="H173" s="60">
        <f>373-373</f>
        <v>0</v>
      </c>
      <c r="I173" s="60"/>
      <c r="J173" s="60">
        <f>400-400</f>
        <v>0</v>
      </c>
      <c r="K173" s="73"/>
      <c r="L173" s="73"/>
      <c r="M173" s="59"/>
      <c r="N173" s="59">
        <f>O173-M173</f>
        <v>0</v>
      </c>
      <c r="O173" s="59"/>
      <c r="P173" s="59"/>
      <c r="Q173" s="59"/>
      <c r="R173" s="73"/>
      <c r="S173" s="73"/>
      <c r="T173" s="73"/>
      <c r="U173" s="73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</row>
    <row r="174" spans="1:63" s="18" customFormat="1" ht="126" customHeight="1">
      <c r="A174" s="86" t="s">
        <v>273</v>
      </c>
      <c r="B174" s="68" t="s">
        <v>158</v>
      </c>
      <c r="C174" s="68" t="s">
        <v>128</v>
      </c>
      <c r="D174" s="69" t="s">
        <v>272</v>
      </c>
      <c r="E174" s="68"/>
      <c r="F174" s="59"/>
      <c r="G174" s="59"/>
      <c r="H174" s="60"/>
      <c r="I174" s="60"/>
      <c r="J174" s="60"/>
      <c r="K174" s="73"/>
      <c r="L174" s="73"/>
      <c r="M174" s="59"/>
      <c r="N174" s="59">
        <f aca="true" t="shared" si="82" ref="N174:U174">N175</f>
        <v>612</v>
      </c>
      <c r="O174" s="59">
        <f t="shared" si="82"/>
        <v>612</v>
      </c>
      <c r="P174" s="59">
        <f t="shared" si="82"/>
        <v>0</v>
      </c>
      <c r="Q174" s="59">
        <f t="shared" si="82"/>
        <v>612</v>
      </c>
      <c r="R174" s="59">
        <f t="shared" si="82"/>
        <v>0</v>
      </c>
      <c r="S174" s="59">
        <f t="shared" si="82"/>
        <v>0</v>
      </c>
      <c r="T174" s="59">
        <f t="shared" si="82"/>
        <v>612</v>
      </c>
      <c r="U174" s="59">
        <f t="shared" si="82"/>
        <v>612</v>
      </c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</row>
    <row r="175" spans="1:63" s="18" customFormat="1" ht="87.75" customHeight="1">
      <c r="A175" s="86" t="s">
        <v>257</v>
      </c>
      <c r="B175" s="68" t="s">
        <v>158</v>
      </c>
      <c r="C175" s="68" t="s">
        <v>128</v>
      </c>
      <c r="D175" s="69" t="s">
        <v>272</v>
      </c>
      <c r="E175" s="68" t="s">
        <v>143</v>
      </c>
      <c r="F175" s="59"/>
      <c r="G175" s="59"/>
      <c r="H175" s="60"/>
      <c r="I175" s="60"/>
      <c r="J175" s="60"/>
      <c r="K175" s="73"/>
      <c r="L175" s="73"/>
      <c r="M175" s="59"/>
      <c r="N175" s="59">
        <f>O175-M175</f>
        <v>612</v>
      </c>
      <c r="O175" s="59">
        <v>612</v>
      </c>
      <c r="P175" s="59"/>
      <c r="Q175" s="59">
        <v>612</v>
      </c>
      <c r="R175" s="73"/>
      <c r="S175" s="73"/>
      <c r="T175" s="59">
        <f>O175+R175</f>
        <v>612</v>
      </c>
      <c r="U175" s="59">
        <f>Q175+S175</f>
        <v>612</v>
      </c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</row>
    <row r="176" spans="1:63" s="18" customFormat="1" ht="257.25" customHeight="1">
      <c r="A176" s="86" t="s">
        <v>274</v>
      </c>
      <c r="B176" s="68" t="s">
        <v>158</v>
      </c>
      <c r="C176" s="68" t="s">
        <v>128</v>
      </c>
      <c r="D176" s="69" t="s">
        <v>275</v>
      </c>
      <c r="E176" s="68"/>
      <c r="F176" s="59"/>
      <c r="G176" s="59"/>
      <c r="H176" s="60"/>
      <c r="I176" s="60"/>
      <c r="J176" s="60"/>
      <c r="K176" s="73"/>
      <c r="L176" s="73"/>
      <c r="M176" s="59"/>
      <c r="N176" s="59">
        <f aca="true" t="shared" si="83" ref="N176:U176">N177</f>
        <v>8496</v>
      </c>
      <c r="O176" s="59">
        <f t="shared" si="83"/>
        <v>8496</v>
      </c>
      <c r="P176" s="59">
        <f t="shared" si="83"/>
        <v>0</v>
      </c>
      <c r="Q176" s="59">
        <f t="shared" si="83"/>
        <v>8496</v>
      </c>
      <c r="R176" s="59">
        <f t="shared" si="83"/>
        <v>0</v>
      </c>
      <c r="S176" s="59">
        <f t="shared" si="83"/>
        <v>0</v>
      </c>
      <c r="T176" s="59">
        <f t="shared" si="83"/>
        <v>8496</v>
      </c>
      <c r="U176" s="59">
        <f t="shared" si="83"/>
        <v>8496</v>
      </c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</row>
    <row r="177" spans="1:63" s="18" customFormat="1" ht="87" customHeight="1">
      <c r="A177" s="86" t="s">
        <v>257</v>
      </c>
      <c r="B177" s="68" t="s">
        <v>158</v>
      </c>
      <c r="C177" s="68" t="s">
        <v>128</v>
      </c>
      <c r="D177" s="69" t="s">
        <v>275</v>
      </c>
      <c r="E177" s="68" t="s">
        <v>143</v>
      </c>
      <c r="F177" s="59"/>
      <c r="G177" s="59"/>
      <c r="H177" s="60"/>
      <c r="I177" s="60"/>
      <c r="J177" s="60"/>
      <c r="K177" s="73"/>
      <c r="L177" s="73"/>
      <c r="M177" s="59"/>
      <c r="N177" s="59">
        <f>O177-M177</f>
        <v>8496</v>
      </c>
      <c r="O177" s="59">
        <v>8496</v>
      </c>
      <c r="P177" s="59"/>
      <c r="Q177" s="59">
        <v>8496</v>
      </c>
      <c r="R177" s="73"/>
      <c r="S177" s="73"/>
      <c r="T177" s="59">
        <f>O177+R177</f>
        <v>8496</v>
      </c>
      <c r="U177" s="59">
        <f>Q177+S177</f>
        <v>8496</v>
      </c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</row>
    <row r="178" spans="1:63" s="18" customFormat="1" ht="192.75" customHeight="1">
      <c r="A178" s="104" t="s">
        <v>276</v>
      </c>
      <c r="B178" s="68" t="s">
        <v>158</v>
      </c>
      <c r="C178" s="68" t="s">
        <v>128</v>
      </c>
      <c r="D178" s="69" t="s">
        <v>277</v>
      </c>
      <c r="E178" s="68"/>
      <c r="F178" s="59"/>
      <c r="G178" s="59"/>
      <c r="H178" s="60"/>
      <c r="I178" s="60"/>
      <c r="J178" s="60"/>
      <c r="K178" s="73"/>
      <c r="L178" s="73"/>
      <c r="M178" s="59"/>
      <c r="N178" s="59">
        <f aca="true" t="shared" si="84" ref="N178:U178">N179</f>
        <v>38071</v>
      </c>
      <c r="O178" s="59">
        <f t="shared" si="84"/>
        <v>38071</v>
      </c>
      <c r="P178" s="59">
        <f t="shared" si="84"/>
        <v>0</v>
      </c>
      <c r="Q178" s="59">
        <f t="shared" si="84"/>
        <v>38071</v>
      </c>
      <c r="R178" s="59">
        <f t="shared" si="84"/>
        <v>0</v>
      </c>
      <c r="S178" s="59">
        <f t="shared" si="84"/>
        <v>0</v>
      </c>
      <c r="T178" s="59">
        <f t="shared" si="84"/>
        <v>38071</v>
      </c>
      <c r="U178" s="59">
        <f t="shared" si="84"/>
        <v>38071</v>
      </c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</row>
    <row r="179" spans="1:63" s="18" customFormat="1" ht="91.5" customHeight="1">
      <c r="A179" s="86" t="s">
        <v>257</v>
      </c>
      <c r="B179" s="68" t="s">
        <v>158</v>
      </c>
      <c r="C179" s="68" t="s">
        <v>128</v>
      </c>
      <c r="D179" s="69" t="s">
        <v>277</v>
      </c>
      <c r="E179" s="68" t="s">
        <v>143</v>
      </c>
      <c r="F179" s="59"/>
      <c r="G179" s="59"/>
      <c r="H179" s="60"/>
      <c r="I179" s="60"/>
      <c r="J179" s="60"/>
      <c r="K179" s="73"/>
      <c r="L179" s="73"/>
      <c r="M179" s="59"/>
      <c r="N179" s="59">
        <f>O179-M179</f>
        <v>38071</v>
      </c>
      <c r="O179" s="59">
        <v>38071</v>
      </c>
      <c r="P179" s="59"/>
      <c r="Q179" s="59">
        <v>38071</v>
      </c>
      <c r="R179" s="73"/>
      <c r="S179" s="73"/>
      <c r="T179" s="59">
        <f>O179+R179</f>
        <v>38071</v>
      </c>
      <c r="U179" s="59">
        <f>Q179+S179</f>
        <v>38071</v>
      </c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</row>
    <row r="180" spans="1:21" ht="16.5">
      <c r="A180" s="62"/>
      <c r="B180" s="68"/>
      <c r="C180" s="68"/>
      <c r="D180" s="102"/>
      <c r="E180" s="68"/>
      <c r="F180" s="45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</row>
    <row r="181" spans="1:63" s="18" customFormat="1" ht="21" customHeight="1">
      <c r="A181" s="105" t="s">
        <v>160</v>
      </c>
      <c r="B181" s="54" t="s">
        <v>158</v>
      </c>
      <c r="C181" s="54" t="s">
        <v>132</v>
      </c>
      <c r="D181" s="65"/>
      <c r="E181" s="54"/>
      <c r="F181" s="66">
        <f>F182</f>
        <v>680600</v>
      </c>
      <c r="G181" s="66">
        <f aca="true" t="shared" si="85" ref="G181:Q181">G182+G199</f>
        <v>486477</v>
      </c>
      <c r="H181" s="66">
        <f t="shared" si="85"/>
        <v>1167077</v>
      </c>
      <c r="I181" s="66">
        <f t="shared" si="85"/>
        <v>0</v>
      </c>
      <c r="J181" s="66">
        <f t="shared" si="85"/>
        <v>1308543</v>
      </c>
      <c r="K181" s="66">
        <f t="shared" si="85"/>
        <v>0</v>
      </c>
      <c r="L181" s="66">
        <f t="shared" si="85"/>
        <v>0</v>
      </c>
      <c r="M181" s="66">
        <f t="shared" si="85"/>
        <v>1308543</v>
      </c>
      <c r="N181" s="66">
        <f t="shared" si="85"/>
        <v>-756684</v>
      </c>
      <c r="O181" s="66">
        <f t="shared" si="85"/>
        <v>551859</v>
      </c>
      <c r="P181" s="66">
        <f t="shared" si="85"/>
        <v>0</v>
      </c>
      <c r="Q181" s="66">
        <f t="shared" si="85"/>
        <v>551859</v>
      </c>
      <c r="R181" s="66">
        <f>R182+R199</f>
        <v>0</v>
      </c>
      <c r="S181" s="66">
        <f>S182+S199</f>
        <v>0</v>
      </c>
      <c r="T181" s="66">
        <f>T182+T199</f>
        <v>551859</v>
      </c>
      <c r="U181" s="66">
        <f>U182+U199</f>
        <v>551859</v>
      </c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</row>
    <row r="182" spans="1:63" s="18" customFormat="1" ht="24" customHeight="1">
      <c r="A182" s="106" t="s">
        <v>160</v>
      </c>
      <c r="B182" s="68" t="s">
        <v>158</v>
      </c>
      <c r="C182" s="68" t="s">
        <v>132</v>
      </c>
      <c r="D182" s="107" t="s">
        <v>119</v>
      </c>
      <c r="E182" s="68"/>
      <c r="F182" s="70">
        <f>F183+F185+F187+F189+F191+F193</f>
        <v>680600</v>
      </c>
      <c r="G182" s="70">
        <f aca="true" t="shared" si="86" ref="G182:M182">G183+G185+G187+G189+G191+G193+G197</f>
        <v>481921</v>
      </c>
      <c r="H182" s="70">
        <f t="shared" si="86"/>
        <v>1162521</v>
      </c>
      <c r="I182" s="70">
        <f t="shared" si="86"/>
        <v>0</v>
      </c>
      <c r="J182" s="70">
        <f t="shared" si="86"/>
        <v>1303656</v>
      </c>
      <c r="K182" s="70">
        <f t="shared" si="86"/>
        <v>0</v>
      </c>
      <c r="L182" s="70">
        <f t="shared" si="86"/>
        <v>0</v>
      </c>
      <c r="M182" s="70">
        <f t="shared" si="86"/>
        <v>1303656</v>
      </c>
      <c r="N182" s="70">
        <f aca="true" t="shared" si="87" ref="N182:U182">N183+N193+N195+N197</f>
        <v>-751797</v>
      </c>
      <c r="O182" s="70">
        <f t="shared" si="87"/>
        <v>551859</v>
      </c>
      <c r="P182" s="70">
        <f t="shared" si="87"/>
        <v>0</v>
      </c>
      <c r="Q182" s="70">
        <f t="shared" si="87"/>
        <v>551859</v>
      </c>
      <c r="R182" s="70">
        <f t="shared" si="87"/>
        <v>0</v>
      </c>
      <c r="S182" s="70">
        <f t="shared" si="87"/>
        <v>0</v>
      </c>
      <c r="T182" s="70">
        <f t="shared" si="87"/>
        <v>551859</v>
      </c>
      <c r="U182" s="70">
        <f t="shared" si="87"/>
        <v>551859</v>
      </c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</row>
    <row r="183" spans="1:63" s="18" customFormat="1" ht="51.75" customHeight="1">
      <c r="A183" s="86" t="s">
        <v>137</v>
      </c>
      <c r="B183" s="68" t="s">
        <v>158</v>
      </c>
      <c r="C183" s="68" t="s">
        <v>132</v>
      </c>
      <c r="D183" s="107" t="s">
        <v>119</v>
      </c>
      <c r="E183" s="68" t="s">
        <v>138</v>
      </c>
      <c r="F183" s="59">
        <v>636668</v>
      </c>
      <c r="G183" s="59">
        <f>H183-F183</f>
        <v>470655</v>
      </c>
      <c r="H183" s="59">
        <v>1107323</v>
      </c>
      <c r="I183" s="59"/>
      <c r="J183" s="59">
        <v>1244558</v>
      </c>
      <c r="K183" s="73"/>
      <c r="L183" s="73"/>
      <c r="M183" s="59">
        <v>1244558</v>
      </c>
      <c r="N183" s="59">
        <f>O183-M183</f>
        <v>-704093</v>
      </c>
      <c r="O183" s="59">
        <v>540465</v>
      </c>
      <c r="P183" s="59"/>
      <c r="Q183" s="59">
        <v>540465</v>
      </c>
      <c r="R183" s="73"/>
      <c r="S183" s="73"/>
      <c r="T183" s="59">
        <f>O183+R183</f>
        <v>540465</v>
      </c>
      <c r="U183" s="59">
        <f>Q183+S183</f>
        <v>540465</v>
      </c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</row>
    <row r="184" spans="1:63" s="36" customFormat="1" ht="84" customHeight="1" hidden="1">
      <c r="A184" s="108" t="s">
        <v>257</v>
      </c>
      <c r="B184" s="109" t="s">
        <v>158</v>
      </c>
      <c r="C184" s="109" t="s">
        <v>132</v>
      </c>
      <c r="D184" s="110" t="s">
        <v>119</v>
      </c>
      <c r="E184" s="109" t="s">
        <v>143</v>
      </c>
      <c r="F184" s="111"/>
      <c r="G184" s="111"/>
      <c r="H184" s="111"/>
      <c r="I184" s="111"/>
      <c r="J184" s="111"/>
      <c r="K184" s="112"/>
      <c r="L184" s="112"/>
      <c r="M184" s="111"/>
      <c r="N184" s="111"/>
      <c r="O184" s="111"/>
      <c r="P184" s="111">
        <f>P193+P195+P197</f>
        <v>0</v>
      </c>
      <c r="Q184" s="111"/>
      <c r="R184" s="112"/>
      <c r="S184" s="112"/>
      <c r="T184" s="112"/>
      <c r="U184" s="112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</row>
    <row r="185" spans="1:63" s="14" customFormat="1" ht="36.75" customHeight="1" hidden="1">
      <c r="A185" s="86" t="s">
        <v>214</v>
      </c>
      <c r="B185" s="68" t="s">
        <v>158</v>
      </c>
      <c r="C185" s="68" t="s">
        <v>132</v>
      </c>
      <c r="D185" s="107" t="s">
        <v>203</v>
      </c>
      <c r="E185" s="68"/>
      <c r="F185" s="70">
        <f aca="true" t="shared" si="88" ref="F185:Q185">F186</f>
        <v>1903</v>
      </c>
      <c r="G185" s="70">
        <f t="shared" si="88"/>
        <v>-1903</v>
      </c>
      <c r="H185" s="70">
        <f t="shared" si="88"/>
        <v>0</v>
      </c>
      <c r="I185" s="70">
        <f t="shared" si="88"/>
        <v>0</v>
      </c>
      <c r="J185" s="70">
        <f t="shared" si="88"/>
        <v>0</v>
      </c>
      <c r="K185" s="70">
        <f t="shared" si="88"/>
        <v>0</v>
      </c>
      <c r="L185" s="70">
        <f t="shared" si="88"/>
        <v>0</v>
      </c>
      <c r="M185" s="70">
        <f t="shared" si="88"/>
        <v>0</v>
      </c>
      <c r="N185" s="70">
        <f t="shared" si="88"/>
        <v>0</v>
      </c>
      <c r="O185" s="70">
        <f t="shared" si="88"/>
        <v>0</v>
      </c>
      <c r="P185" s="70">
        <f t="shared" si="88"/>
        <v>0</v>
      </c>
      <c r="Q185" s="70">
        <f t="shared" si="88"/>
        <v>0</v>
      </c>
      <c r="R185" s="79"/>
      <c r="S185" s="79"/>
      <c r="T185" s="79"/>
      <c r="U185" s="79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</row>
    <row r="186" spans="1:63" s="14" customFormat="1" ht="102.75" customHeight="1" hidden="1">
      <c r="A186" s="86" t="s">
        <v>322</v>
      </c>
      <c r="B186" s="68" t="s">
        <v>158</v>
      </c>
      <c r="C186" s="68" t="s">
        <v>132</v>
      </c>
      <c r="D186" s="107" t="s">
        <v>203</v>
      </c>
      <c r="E186" s="68" t="s">
        <v>143</v>
      </c>
      <c r="F186" s="59">
        <v>1903</v>
      </c>
      <c r="G186" s="59">
        <f>H186-F186</f>
        <v>-1903</v>
      </c>
      <c r="H186" s="59">
        <f>2945-2945</f>
        <v>0</v>
      </c>
      <c r="I186" s="59"/>
      <c r="J186" s="59">
        <f>3154-3154</f>
        <v>0</v>
      </c>
      <c r="K186" s="79"/>
      <c r="L186" s="79"/>
      <c r="M186" s="59"/>
      <c r="N186" s="60"/>
      <c r="O186" s="59"/>
      <c r="P186" s="59"/>
      <c r="Q186" s="59"/>
      <c r="R186" s="79"/>
      <c r="S186" s="79"/>
      <c r="T186" s="79"/>
      <c r="U186" s="79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</row>
    <row r="187" spans="1:63" s="14" customFormat="1" ht="69" customHeight="1" hidden="1">
      <c r="A187" s="86" t="s">
        <v>224</v>
      </c>
      <c r="B187" s="68" t="s">
        <v>158</v>
      </c>
      <c r="C187" s="68" t="s">
        <v>132</v>
      </c>
      <c r="D187" s="107" t="s">
        <v>204</v>
      </c>
      <c r="E187" s="68"/>
      <c r="F187" s="70">
        <f aca="true" t="shared" si="89" ref="F187:Q187">F188</f>
        <v>1652</v>
      </c>
      <c r="G187" s="70">
        <f t="shared" si="89"/>
        <v>-1652</v>
      </c>
      <c r="H187" s="70">
        <f t="shared" si="89"/>
        <v>0</v>
      </c>
      <c r="I187" s="70">
        <f t="shared" si="89"/>
        <v>0</v>
      </c>
      <c r="J187" s="70">
        <f t="shared" si="89"/>
        <v>0</v>
      </c>
      <c r="K187" s="70">
        <f t="shared" si="89"/>
        <v>0</v>
      </c>
      <c r="L187" s="70">
        <f t="shared" si="89"/>
        <v>0</v>
      </c>
      <c r="M187" s="70">
        <f t="shared" si="89"/>
        <v>0</v>
      </c>
      <c r="N187" s="70">
        <f t="shared" si="89"/>
        <v>0</v>
      </c>
      <c r="O187" s="70">
        <f t="shared" si="89"/>
        <v>0</v>
      </c>
      <c r="P187" s="70">
        <f t="shared" si="89"/>
        <v>0</v>
      </c>
      <c r="Q187" s="70">
        <f t="shared" si="89"/>
        <v>0</v>
      </c>
      <c r="R187" s="79"/>
      <c r="S187" s="79"/>
      <c r="T187" s="79"/>
      <c r="U187" s="79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</row>
    <row r="188" spans="1:63" s="14" customFormat="1" ht="104.25" customHeight="1" hidden="1">
      <c r="A188" s="86" t="s">
        <v>322</v>
      </c>
      <c r="B188" s="68" t="s">
        <v>158</v>
      </c>
      <c r="C188" s="68" t="s">
        <v>132</v>
      </c>
      <c r="D188" s="107" t="s">
        <v>204</v>
      </c>
      <c r="E188" s="68" t="s">
        <v>143</v>
      </c>
      <c r="F188" s="59">
        <v>1652</v>
      </c>
      <c r="G188" s="59">
        <f>H188-F188</f>
        <v>-1652</v>
      </c>
      <c r="H188" s="60">
        <f>699-699</f>
        <v>0</v>
      </c>
      <c r="I188" s="60"/>
      <c r="J188" s="60">
        <f>749-749</f>
        <v>0</v>
      </c>
      <c r="K188" s="79"/>
      <c r="L188" s="79"/>
      <c r="M188" s="59"/>
      <c r="N188" s="60"/>
      <c r="O188" s="59"/>
      <c r="P188" s="59"/>
      <c r="Q188" s="59"/>
      <c r="R188" s="79"/>
      <c r="S188" s="79"/>
      <c r="T188" s="79"/>
      <c r="U188" s="79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</row>
    <row r="189" spans="1:63" s="14" customFormat="1" ht="120" customHeight="1" hidden="1">
      <c r="A189" s="86" t="s">
        <v>323</v>
      </c>
      <c r="B189" s="68" t="s">
        <v>158</v>
      </c>
      <c r="C189" s="68" t="s">
        <v>132</v>
      </c>
      <c r="D189" s="107" t="s">
        <v>205</v>
      </c>
      <c r="E189" s="68"/>
      <c r="F189" s="70">
        <f aca="true" t="shared" si="90" ref="F189:Q189">F190</f>
        <v>9073</v>
      </c>
      <c r="G189" s="70">
        <f t="shared" si="90"/>
        <v>-9073</v>
      </c>
      <c r="H189" s="70">
        <f t="shared" si="90"/>
        <v>0</v>
      </c>
      <c r="I189" s="70">
        <f t="shared" si="90"/>
        <v>0</v>
      </c>
      <c r="J189" s="70">
        <f t="shared" si="90"/>
        <v>0</v>
      </c>
      <c r="K189" s="70">
        <f t="shared" si="90"/>
        <v>0</v>
      </c>
      <c r="L189" s="70">
        <f t="shared" si="90"/>
        <v>0</v>
      </c>
      <c r="M189" s="70">
        <f t="shared" si="90"/>
        <v>0</v>
      </c>
      <c r="N189" s="70">
        <f t="shared" si="90"/>
        <v>0</v>
      </c>
      <c r="O189" s="70">
        <f t="shared" si="90"/>
        <v>0</v>
      </c>
      <c r="P189" s="70">
        <f t="shared" si="90"/>
        <v>0</v>
      </c>
      <c r="Q189" s="70">
        <f t="shared" si="90"/>
        <v>0</v>
      </c>
      <c r="R189" s="79"/>
      <c r="S189" s="79"/>
      <c r="T189" s="79"/>
      <c r="U189" s="79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</row>
    <row r="190" spans="1:63" s="14" customFormat="1" ht="102.75" customHeight="1" hidden="1">
      <c r="A190" s="86" t="s">
        <v>322</v>
      </c>
      <c r="B190" s="68" t="s">
        <v>158</v>
      </c>
      <c r="C190" s="68" t="s">
        <v>132</v>
      </c>
      <c r="D190" s="107" t="s">
        <v>205</v>
      </c>
      <c r="E190" s="68" t="s">
        <v>143</v>
      </c>
      <c r="F190" s="59">
        <v>9073</v>
      </c>
      <c r="G190" s="59">
        <f>H190-F190</f>
        <v>-9073</v>
      </c>
      <c r="H190" s="59">
        <f>9572-9572</f>
        <v>0</v>
      </c>
      <c r="I190" s="59"/>
      <c r="J190" s="59">
        <f>10251-10251</f>
        <v>0</v>
      </c>
      <c r="K190" s="79"/>
      <c r="L190" s="79"/>
      <c r="M190" s="59"/>
      <c r="N190" s="60"/>
      <c r="O190" s="59"/>
      <c r="P190" s="59"/>
      <c r="Q190" s="59"/>
      <c r="R190" s="79"/>
      <c r="S190" s="79"/>
      <c r="T190" s="79"/>
      <c r="U190" s="79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</row>
    <row r="191" spans="1:63" s="14" customFormat="1" ht="19.5" customHeight="1" hidden="1">
      <c r="A191" s="86" t="s">
        <v>215</v>
      </c>
      <c r="B191" s="68" t="s">
        <v>158</v>
      </c>
      <c r="C191" s="68" t="s">
        <v>132</v>
      </c>
      <c r="D191" s="107" t="s">
        <v>206</v>
      </c>
      <c r="E191" s="68"/>
      <c r="F191" s="70">
        <f aca="true" t="shared" si="91" ref="F191:Q191">F192</f>
        <v>23259</v>
      </c>
      <c r="G191" s="70">
        <f t="shared" si="91"/>
        <v>-23259</v>
      </c>
      <c r="H191" s="70">
        <f t="shared" si="91"/>
        <v>0</v>
      </c>
      <c r="I191" s="70">
        <f t="shared" si="91"/>
        <v>0</v>
      </c>
      <c r="J191" s="70">
        <f t="shared" si="91"/>
        <v>0</v>
      </c>
      <c r="K191" s="70">
        <f t="shared" si="91"/>
        <v>0</v>
      </c>
      <c r="L191" s="70">
        <f t="shared" si="91"/>
        <v>0</v>
      </c>
      <c r="M191" s="70">
        <f t="shared" si="91"/>
        <v>0</v>
      </c>
      <c r="N191" s="70">
        <f t="shared" si="91"/>
        <v>0</v>
      </c>
      <c r="O191" s="70">
        <f t="shared" si="91"/>
        <v>0</v>
      </c>
      <c r="P191" s="70">
        <f t="shared" si="91"/>
        <v>0</v>
      </c>
      <c r="Q191" s="70">
        <f t="shared" si="91"/>
        <v>0</v>
      </c>
      <c r="R191" s="79"/>
      <c r="S191" s="79"/>
      <c r="T191" s="79"/>
      <c r="U191" s="79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</row>
    <row r="192" spans="1:63" s="14" customFormat="1" ht="20.25" customHeight="1" hidden="1">
      <c r="A192" s="86" t="s">
        <v>322</v>
      </c>
      <c r="B192" s="68" t="s">
        <v>158</v>
      </c>
      <c r="C192" s="68" t="s">
        <v>132</v>
      </c>
      <c r="D192" s="107" t="s">
        <v>206</v>
      </c>
      <c r="E192" s="68" t="s">
        <v>143</v>
      </c>
      <c r="F192" s="59">
        <v>23259</v>
      </c>
      <c r="G192" s="59">
        <f>H192-F192</f>
        <v>-23259</v>
      </c>
      <c r="H192" s="59"/>
      <c r="I192" s="59"/>
      <c r="J192" s="59"/>
      <c r="K192" s="79"/>
      <c r="L192" s="79"/>
      <c r="M192" s="59"/>
      <c r="N192" s="60"/>
      <c r="O192" s="59"/>
      <c r="P192" s="59"/>
      <c r="Q192" s="59"/>
      <c r="R192" s="79"/>
      <c r="S192" s="79"/>
      <c r="T192" s="79"/>
      <c r="U192" s="79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</row>
    <row r="193" spans="1:63" s="14" customFormat="1" ht="36" customHeight="1" hidden="1">
      <c r="A193" s="86" t="s">
        <v>217</v>
      </c>
      <c r="B193" s="68" t="s">
        <v>158</v>
      </c>
      <c r="C193" s="68" t="s">
        <v>132</v>
      </c>
      <c r="D193" s="107" t="s">
        <v>216</v>
      </c>
      <c r="E193" s="68"/>
      <c r="F193" s="70">
        <f aca="true" t="shared" si="92" ref="F193:Q193">F194</f>
        <v>8045</v>
      </c>
      <c r="G193" s="70">
        <f t="shared" si="92"/>
        <v>3908</v>
      </c>
      <c r="H193" s="70">
        <f t="shared" si="92"/>
        <v>11953</v>
      </c>
      <c r="I193" s="70">
        <f t="shared" si="92"/>
        <v>0</v>
      </c>
      <c r="J193" s="70">
        <f t="shared" si="92"/>
        <v>12801</v>
      </c>
      <c r="K193" s="70">
        <f t="shared" si="92"/>
        <v>0</v>
      </c>
      <c r="L193" s="70">
        <f t="shared" si="92"/>
        <v>0</v>
      </c>
      <c r="M193" s="70">
        <f t="shared" si="92"/>
        <v>12801</v>
      </c>
      <c r="N193" s="70">
        <f t="shared" si="92"/>
        <v>-12801</v>
      </c>
      <c r="O193" s="70">
        <f t="shared" si="92"/>
        <v>0</v>
      </c>
      <c r="P193" s="70">
        <f t="shared" si="92"/>
        <v>0</v>
      </c>
      <c r="Q193" s="70">
        <f t="shared" si="92"/>
        <v>0</v>
      </c>
      <c r="R193" s="79"/>
      <c r="S193" s="79"/>
      <c r="T193" s="79"/>
      <c r="U193" s="79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</row>
    <row r="194" spans="1:63" s="14" customFormat="1" ht="87" customHeight="1" hidden="1">
      <c r="A194" s="86" t="s">
        <v>257</v>
      </c>
      <c r="B194" s="68" t="s">
        <v>158</v>
      </c>
      <c r="C194" s="68" t="s">
        <v>132</v>
      </c>
      <c r="D194" s="107" t="s">
        <v>216</v>
      </c>
      <c r="E194" s="68" t="s">
        <v>143</v>
      </c>
      <c r="F194" s="59">
        <v>8045</v>
      </c>
      <c r="G194" s="59">
        <f>H194-F194</f>
        <v>3908</v>
      </c>
      <c r="H194" s="59">
        <v>11953</v>
      </c>
      <c r="I194" s="59"/>
      <c r="J194" s="59">
        <v>12801</v>
      </c>
      <c r="K194" s="79"/>
      <c r="L194" s="79"/>
      <c r="M194" s="59">
        <v>12801</v>
      </c>
      <c r="N194" s="59">
        <f>O194-M194</f>
        <v>-12801</v>
      </c>
      <c r="O194" s="59"/>
      <c r="P194" s="59"/>
      <c r="Q194" s="59"/>
      <c r="R194" s="79"/>
      <c r="S194" s="79"/>
      <c r="T194" s="79"/>
      <c r="U194" s="79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</row>
    <row r="195" spans="1:63" s="14" customFormat="1" ht="75.75" customHeight="1">
      <c r="A195" s="86" t="s">
        <v>278</v>
      </c>
      <c r="B195" s="68" t="s">
        <v>158</v>
      </c>
      <c r="C195" s="68" t="s">
        <v>132</v>
      </c>
      <c r="D195" s="107" t="s">
        <v>216</v>
      </c>
      <c r="E195" s="68"/>
      <c r="F195" s="59"/>
      <c r="G195" s="59"/>
      <c r="H195" s="59"/>
      <c r="I195" s="59"/>
      <c r="J195" s="59"/>
      <c r="K195" s="79"/>
      <c r="L195" s="79"/>
      <c r="M195" s="59"/>
      <c r="N195" s="59">
        <f aca="true" t="shared" si="93" ref="N195:U195">N196</f>
        <v>11394</v>
      </c>
      <c r="O195" s="59">
        <f t="shared" si="93"/>
        <v>11394</v>
      </c>
      <c r="P195" s="59">
        <f t="shared" si="93"/>
        <v>0</v>
      </c>
      <c r="Q195" s="59">
        <f t="shared" si="93"/>
        <v>11394</v>
      </c>
      <c r="R195" s="59">
        <f t="shared" si="93"/>
        <v>0</v>
      </c>
      <c r="S195" s="59">
        <f t="shared" si="93"/>
        <v>0</v>
      </c>
      <c r="T195" s="59">
        <f t="shared" si="93"/>
        <v>11394</v>
      </c>
      <c r="U195" s="59">
        <f t="shared" si="93"/>
        <v>11394</v>
      </c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</row>
    <row r="196" spans="1:63" s="14" customFormat="1" ht="87.75" customHeight="1">
      <c r="A196" s="86" t="s">
        <v>257</v>
      </c>
      <c r="B196" s="68" t="s">
        <v>158</v>
      </c>
      <c r="C196" s="68" t="s">
        <v>132</v>
      </c>
      <c r="D196" s="107" t="s">
        <v>216</v>
      </c>
      <c r="E196" s="68" t="s">
        <v>143</v>
      </c>
      <c r="F196" s="59"/>
      <c r="G196" s="59"/>
      <c r="H196" s="59"/>
      <c r="I196" s="59"/>
      <c r="J196" s="59"/>
      <c r="K196" s="79"/>
      <c r="L196" s="79"/>
      <c r="M196" s="59"/>
      <c r="N196" s="59">
        <f>O196-M196</f>
        <v>11394</v>
      </c>
      <c r="O196" s="59">
        <v>11394</v>
      </c>
      <c r="P196" s="59"/>
      <c r="Q196" s="59">
        <v>11394</v>
      </c>
      <c r="R196" s="79"/>
      <c r="S196" s="79"/>
      <c r="T196" s="59">
        <f>O196+R196</f>
        <v>11394</v>
      </c>
      <c r="U196" s="59">
        <f>Q196+S196</f>
        <v>11394</v>
      </c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</row>
    <row r="197" spans="1:63" s="14" customFormat="1" ht="37.5" customHeight="1" hidden="1">
      <c r="A197" s="86" t="s">
        <v>239</v>
      </c>
      <c r="B197" s="68" t="s">
        <v>158</v>
      </c>
      <c r="C197" s="68" t="s">
        <v>132</v>
      </c>
      <c r="D197" s="107" t="s">
        <v>240</v>
      </c>
      <c r="E197" s="68"/>
      <c r="F197" s="70">
        <f aca="true" t="shared" si="94" ref="F197:Q197">F198</f>
        <v>0</v>
      </c>
      <c r="G197" s="70">
        <f t="shared" si="94"/>
        <v>43245</v>
      </c>
      <c r="H197" s="70">
        <f t="shared" si="94"/>
        <v>43245</v>
      </c>
      <c r="I197" s="70">
        <f t="shared" si="94"/>
        <v>0</v>
      </c>
      <c r="J197" s="70">
        <f t="shared" si="94"/>
        <v>46297</v>
      </c>
      <c r="K197" s="70">
        <f t="shared" si="94"/>
        <v>0</v>
      </c>
      <c r="L197" s="70">
        <f t="shared" si="94"/>
        <v>0</v>
      </c>
      <c r="M197" s="70">
        <f t="shared" si="94"/>
        <v>46297</v>
      </c>
      <c r="N197" s="70">
        <f t="shared" si="94"/>
        <v>-46297</v>
      </c>
      <c r="O197" s="70">
        <f t="shared" si="94"/>
        <v>0</v>
      </c>
      <c r="P197" s="70">
        <f t="shared" si="94"/>
        <v>0</v>
      </c>
      <c r="Q197" s="70">
        <f t="shared" si="94"/>
        <v>0</v>
      </c>
      <c r="R197" s="79"/>
      <c r="S197" s="79"/>
      <c r="T197" s="79"/>
      <c r="U197" s="79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</row>
    <row r="198" spans="1:63" s="14" customFormat="1" ht="88.5" customHeight="1" hidden="1">
      <c r="A198" s="86" t="s">
        <v>257</v>
      </c>
      <c r="B198" s="68" t="s">
        <v>158</v>
      </c>
      <c r="C198" s="68" t="s">
        <v>132</v>
      </c>
      <c r="D198" s="107" t="s">
        <v>240</v>
      </c>
      <c r="E198" s="68" t="s">
        <v>143</v>
      </c>
      <c r="F198" s="59"/>
      <c r="G198" s="59">
        <f>H198-F198</f>
        <v>43245</v>
      </c>
      <c r="H198" s="59">
        <v>43245</v>
      </c>
      <c r="I198" s="59"/>
      <c r="J198" s="59">
        <v>46297</v>
      </c>
      <c r="K198" s="79"/>
      <c r="L198" s="79"/>
      <c r="M198" s="59">
        <v>46297</v>
      </c>
      <c r="N198" s="59">
        <f>O198-M198</f>
        <v>-46297</v>
      </c>
      <c r="O198" s="59"/>
      <c r="P198" s="59"/>
      <c r="Q198" s="59"/>
      <c r="R198" s="79"/>
      <c r="S198" s="79"/>
      <c r="T198" s="79"/>
      <c r="U198" s="79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</row>
    <row r="199" spans="1:63" s="14" customFormat="1" ht="21.75" customHeight="1" hidden="1">
      <c r="A199" s="67" t="s">
        <v>121</v>
      </c>
      <c r="B199" s="68" t="s">
        <v>158</v>
      </c>
      <c r="C199" s="68" t="s">
        <v>132</v>
      </c>
      <c r="D199" s="69" t="s">
        <v>122</v>
      </c>
      <c r="E199" s="68"/>
      <c r="F199" s="113">
        <f aca="true" t="shared" si="95" ref="F199:Q199">F200</f>
        <v>0</v>
      </c>
      <c r="G199" s="59">
        <f t="shared" si="95"/>
        <v>4556</v>
      </c>
      <c r="H199" s="59">
        <f t="shared" si="95"/>
        <v>4556</v>
      </c>
      <c r="I199" s="113">
        <f t="shared" si="95"/>
        <v>0</v>
      </c>
      <c r="J199" s="59">
        <f t="shared" si="95"/>
        <v>4887</v>
      </c>
      <c r="K199" s="59">
        <f t="shared" si="95"/>
        <v>0</v>
      </c>
      <c r="L199" s="59">
        <f t="shared" si="95"/>
        <v>0</v>
      </c>
      <c r="M199" s="59">
        <f t="shared" si="95"/>
        <v>4887</v>
      </c>
      <c r="N199" s="59">
        <f t="shared" si="95"/>
        <v>-4887</v>
      </c>
      <c r="O199" s="59">
        <f t="shared" si="95"/>
        <v>0</v>
      </c>
      <c r="P199" s="59">
        <f t="shared" si="95"/>
        <v>0</v>
      </c>
      <c r="Q199" s="59">
        <f t="shared" si="95"/>
        <v>0</v>
      </c>
      <c r="R199" s="79"/>
      <c r="S199" s="79"/>
      <c r="T199" s="79"/>
      <c r="U199" s="79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</row>
    <row r="200" spans="1:63" s="14" customFormat="1" ht="50.25" customHeight="1" hidden="1">
      <c r="A200" s="67" t="s">
        <v>137</v>
      </c>
      <c r="B200" s="68" t="s">
        <v>158</v>
      </c>
      <c r="C200" s="68" t="s">
        <v>132</v>
      </c>
      <c r="D200" s="69" t="s">
        <v>122</v>
      </c>
      <c r="E200" s="68" t="s">
        <v>138</v>
      </c>
      <c r="F200" s="113"/>
      <c r="G200" s="59">
        <f>H200-F200</f>
        <v>4556</v>
      </c>
      <c r="H200" s="59">
        <v>4556</v>
      </c>
      <c r="I200" s="79"/>
      <c r="J200" s="59">
        <v>4887</v>
      </c>
      <c r="K200" s="79"/>
      <c r="L200" s="79"/>
      <c r="M200" s="59">
        <v>4887</v>
      </c>
      <c r="N200" s="59">
        <f>O200-M200</f>
        <v>-4887</v>
      </c>
      <c r="O200" s="59"/>
      <c r="P200" s="59"/>
      <c r="Q200" s="59"/>
      <c r="R200" s="79"/>
      <c r="S200" s="79"/>
      <c r="T200" s="79"/>
      <c r="U200" s="79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</row>
    <row r="201" spans="1:63" s="14" customFormat="1" ht="21" customHeight="1">
      <c r="A201" s="67"/>
      <c r="B201" s="68"/>
      <c r="C201" s="68"/>
      <c r="D201" s="69"/>
      <c r="E201" s="68"/>
      <c r="F201" s="113"/>
      <c r="G201" s="59"/>
      <c r="H201" s="59"/>
      <c r="I201" s="79"/>
      <c r="J201" s="59"/>
      <c r="K201" s="79"/>
      <c r="L201" s="79"/>
      <c r="M201" s="59"/>
      <c r="N201" s="59"/>
      <c r="O201" s="59"/>
      <c r="P201" s="59"/>
      <c r="Q201" s="59"/>
      <c r="R201" s="79"/>
      <c r="S201" s="79"/>
      <c r="T201" s="79"/>
      <c r="U201" s="79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</row>
    <row r="202" spans="1:63" s="16" customFormat="1" ht="41.25" customHeight="1">
      <c r="A202" s="100" t="s">
        <v>55</v>
      </c>
      <c r="B202" s="54" t="s">
        <v>158</v>
      </c>
      <c r="C202" s="54" t="s">
        <v>158</v>
      </c>
      <c r="D202" s="65"/>
      <c r="E202" s="54"/>
      <c r="F202" s="66">
        <f aca="true" t="shared" si="96" ref="F202:U203">F203</f>
        <v>4617</v>
      </c>
      <c r="G202" s="66">
        <f t="shared" si="96"/>
        <v>23549</v>
      </c>
      <c r="H202" s="66">
        <f t="shared" si="96"/>
        <v>28166</v>
      </c>
      <c r="I202" s="66">
        <f t="shared" si="96"/>
        <v>0</v>
      </c>
      <c r="J202" s="66">
        <f t="shared" si="96"/>
        <v>30734</v>
      </c>
      <c r="K202" s="66">
        <f t="shared" si="96"/>
        <v>0</v>
      </c>
      <c r="L202" s="66">
        <f t="shared" si="96"/>
        <v>0</v>
      </c>
      <c r="M202" s="66">
        <f t="shared" si="96"/>
        <v>30734</v>
      </c>
      <c r="N202" s="66">
        <f t="shared" si="96"/>
        <v>-13176</v>
      </c>
      <c r="O202" s="66">
        <f t="shared" si="96"/>
        <v>17558</v>
      </c>
      <c r="P202" s="66">
        <f t="shared" si="96"/>
        <v>0</v>
      </c>
      <c r="Q202" s="66">
        <f t="shared" si="96"/>
        <v>17558</v>
      </c>
      <c r="R202" s="66">
        <f t="shared" si="96"/>
        <v>0</v>
      </c>
      <c r="S202" s="66">
        <f t="shared" si="96"/>
        <v>0</v>
      </c>
      <c r="T202" s="66">
        <f t="shared" si="96"/>
        <v>17558</v>
      </c>
      <c r="U202" s="66">
        <f t="shared" si="96"/>
        <v>17558</v>
      </c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</row>
    <row r="203" spans="1:21" ht="72.75" customHeight="1">
      <c r="A203" s="101" t="s">
        <v>133</v>
      </c>
      <c r="B203" s="68" t="s">
        <v>158</v>
      </c>
      <c r="C203" s="68" t="s">
        <v>158</v>
      </c>
      <c r="D203" s="69" t="s">
        <v>161</v>
      </c>
      <c r="E203" s="68"/>
      <c r="F203" s="70">
        <f t="shared" si="96"/>
        <v>4617</v>
      </c>
      <c r="G203" s="70">
        <f t="shared" si="96"/>
        <v>23549</v>
      </c>
      <c r="H203" s="70">
        <f t="shared" si="96"/>
        <v>28166</v>
      </c>
      <c r="I203" s="70">
        <f t="shared" si="96"/>
        <v>0</v>
      </c>
      <c r="J203" s="70">
        <f t="shared" si="96"/>
        <v>30734</v>
      </c>
      <c r="K203" s="70">
        <f t="shared" si="96"/>
        <v>0</v>
      </c>
      <c r="L203" s="70">
        <f t="shared" si="96"/>
        <v>0</v>
      </c>
      <c r="M203" s="70">
        <f t="shared" si="96"/>
        <v>30734</v>
      </c>
      <c r="N203" s="70">
        <f t="shared" si="96"/>
        <v>-13176</v>
      </c>
      <c r="O203" s="70">
        <f t="shared" si="96"/>
        <v>17558</v>
      </c>
      <c r="P203" s="70">
        <f t="shared" si="96"/>
        <v>0</v>
      </c>
      <c r="Q203" s="70">
        <f t="shared" si="96"/>
        <v>17558</v>
      </c>
      <c r="R203" s="70">
        <f t="shared" si="96"/>
        <v>0</v>
      </c>
      <c r="S203" s="70">
        <f t="shared" si="96"/>
        <v>0</v>
      </c>
      <c r="T203" s="70">
        <f t="shared" si="96"/>
        <v>17558</v>
      </c>
      <c r="U203" s="70">
        <f t="shared" si="96"/>
        <v>17558</v>
      </c>
    </row>
    <row r="204" spans="1:63" s="14" customFormat="1" ht="36" customHeight="1">
      <c r="A204" s="101" t="s">
        <v>129</v>
      </c>
      <c r="B204" s="68" t="s">
        <v>158</v>
      </c>
      <c r="C204" s="68" t="s">
        <v>158</v>
      </c>
      <c r="D204" s="69" t="s">
        <v>124</v>
      </c>
      <c r="E204" s="68" t="s">
        <v>130</v>
      </c>
      <c r="F204" s="59">
        <v>4617</v>
      </c>
      <c r="G204" s="59">
        <f>H204-F204</f>
        <v>23549</v>
      </c>
      <c r="H204" s="59">
        <v>28166</v>
      </c>
      <c r="I204" s="59"/>
      <c r="J204" s="59">
        <v>30734</v>
      </c>
      <c r="K204" s="79"/>
      <c r="L204" s="79"/>
      <c r="M204" s="59">
        <v>30734</v>
      </c>
      <c r="N204" s="59">
        <f>O204-M204</f>
        <v>-13176</v>
      </c>
      <c r="O204" s="59">
        <v>17558</v>
      </c>
      <c r="P204" s="59"/>
      <c r="Q204" s="59">
        <v>17558</v>
      </c>
      <c r="R204" s="79"/>
      <c r="S204" s="79"/>
      <c r="T204" s="59">
        <f>O204+R204</f>
        <v>17558</v>
      </c>
      <c r="U204" s="59">
        <f>Q204+S204</f>
        <v>17558</v>
      </c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</row>
    <row r="205" spans="1:21" ht="15">
      <c r="A205" s="83"/>
      <c r="B205" s="84"/>
      <c r="C205" s="84"/>
      <c r="D205" s="85"/>
      <c r="E205" s="84"/>
      <c r="F205" s="45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</row>
    <row r="206" spans="1:63" s="8" customFormat="1" ht="38.25" customHeight="1">
      <c r="A206" s="48" t="s">
        <v>56</v>
      </c>
      <c r="B206" s="49" t="s">
        <v>57</v>
      </c>
      <c r="C206" s="49"/>
      <c r="D206" s="50"/>
      <c r="E206" s="49"/>
      <c r="F206" s="87">
        <f aca="true" t="shared" si="97" ref="F206:O206">F208</f>
        <v>13065</v>
      </c>
      <c r="G206" s="87">
        <f t="shared" si="97"/>
        <v>61506</v>
      </c>
      <c r="H206" s="87">
        <f t="shared" si="97"/>
        <v>74571</v>
      </c>
      <c r="I206" s="87">
        <f t="shared" si="97"/>
        <v>50000</v>
      </c>
      <c r="J206" s="87">
        <f t="shared" si="97"/>
        <v>27641</v>
      </c>
      <c r="K206" s="87">
        <f t="shared" si="97"/>
        <v>0</v>
      </c>
      <c r="L206" s="87">
        <f t="shared" si="97"/>
        <v>0</v>
      </c>
      <c r="M206" s="87">
        <f t="shared" si="97"/>
        <v>27641</v>
      </c>
      <c r="N206" s="87">
        <f t="shared" si="97"/>
        <v>-20296</v>
      </c>
      <c r="O206" s="87">
        <f t="shared" si="97"/>
        <v>7345</v>
      </c>
      <c r="P206" s="87">
        <f aca="true" t="shared" si="98" ref="P206:U206">P208</f>
        <v>0</v>
      </c>
      <c r="Q206" s="87">
        <f t="shared" si="98"/>
        <v>7345</v>
      </c>
      <c r="R206" s="87">
        <f t="shared" si="98"/>
        <v>0</v>
      </c>
      <c r="S206" s="87">
        <f t="shared" si="98"/>
        <v>0</v>
      </c>
      <c r="T206" s="87">
        <f t="shared" si="98"/>
        <v>7345</v>
      </c>
      <c r="U206" s="87">
        <f t="shared" si="98"/>
        <v>7345</v>
      </c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</row>
    <row r="207" spans="1:63" s="8" customFormat="1" ht="13.5" customHeight="1">
      <c r="A207" s="48"/>
      <c r="B207" s="49"/>
      <c r="C207" s="49"/>
      <c r="D207" s="50"/>
      <c r="E207" s="49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</row>
    <row r="208" spans="1:63" s="12" customFormat="1" ht="37.5" customHeight="1">
      <c r="A208" s="53" t="s">
        <v>162</v>
      </c>
      <c r="B208" s="54" t="s">
        <v>149</v>
      </c>
      <c r="C208" s="54" t="s">
        <v>158</v>
      </c>
      <c r="D208" s="65"/>
      <c r="E208" s="54"/>
      <c r="F208" s="56">
        <f aca="true" t="shared" si="99" ref="F208:M208">F209+F211</f>
        <v>13065</v>
      </c>
      <c r="G208" s="56">
        <f t="shared" si="99"/>
        <v>61506</v>
      </c>
      <c r="H208" s="56">
        <f t="shared" si="99"/>
        <v>74571</v>
      </c>
      <c r="I208" s="56">
        <f t="shared" si="99"/>
        <v>50000</v>
      </c>
      <c r="J208" s="56">
        <f t="shared" si="99"/>
        <v>27641</v>
      </c>
      <c r="K208" s="56">
        <f t="shared" si="99"/>
        <v>0</v>
      </c>
      <c r="L208" s="56">
        <f t="shared" si="99"/>
        <v>0</v>
      </c>
      <c r="M208" s="56">
        <f t="shared" si="99"/>
        <v>27641</v>
      </c>
      <c r="N208" s="56">
        <f aca="true" t="shared" si="100" ref="N208:U208">N209+N211+N213</f>
        <v>-20296</v>
      </c>
      <c r="O208" s="56">
        <f t="shared" si="100"/>
        <v>7345</v>
      </c>
      <c r="P208" s="56">
        <f t="shared" si="100"/>
        <v>0</v>
      </c>
      <c r="Q208" s="56">
        <f t="shared" si="100"/>
        <v>7345</v>
      </c>
      <c r="R208" s="56">
        <f t="shared" si="100"/>
        <v>0</v>
      </c>
      <c r="S208" s="56">
        <f t="shared" si="100"/>
        <v>0</v>
      </c>
      <c r="T208" s="56">
        <f t="shared" si="100"/>
        <v>7345</v>
      </c>
      <c r="U208" s="56">
        <f t="shared" si="100"/>
        <v>7345</v>
      </c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</row>
    <row r="209" spans="1:63" s="14" customFormat="1" ht="33" hidden="1">
      <c r="A209" s="67" t="s">
        <v>163</v>
      </c>
      <c r="B209" s="68" t="s">
        <v>149</v>
      </c>
      <c r="C209" s="68" t="s">
        <v>158</v>
      </c>
      <c r="D209" s="69" t="s">
        <v>120</v>
      </c>
      <c r="E209" s="68"/>
      <c r="F209" s="59">
        <f aca="true" t="shared" si="101" ref="F209:U209">F210</f>
        <v>11448</v>
      </c>
      <c r="G209" s="59">
        <f t="shared" si="101"/>
        <v>10380</v>
      </c>
      <c r="H209" s="59">
        <f t="shared" si="101"/>
        <v>21828</v>
      </c>
      <c r="I209" s="59">
        <f t="shared" si="101"/>
        <v>0</v>
      </c>
      <c r="J209" s="59">
        <f t="shared" si="101"/>
        <v>23378</v>
      </c>
      <c r="K209" s="59">
        <f t="shared" si="101"/>
        <v>0</v>
      </c>
      <c r="L209" s="59">
        <f t="shared" si="101"/>
        <v>0</v>
      </c>
      <c r="M209" s="59">
        <f t="shared" si="101"/>
        <v>23378</v>
      </c>
      <c r="N209" s="59">
        <f t="shared" si="101"/>
        <v>-23378</v>
      </c>
      <c r="O209" s="59">
        <f t="shared" si="101"/>
        <v>0</v>
      </c>
      <c r="P209" s="59">
        <f t="shared" si="101"/>
        <v>0</v>
      </c>
      <c r="Q209" s="59">
        <f t="shared" si="101"/>
        <v>0</v>
      </c>
      <c r="R209" s="59">
        <f t="shared" si="101"/>
        <v>0</v>
      </c>
      <c r="S209" s="59">
        <f t="shared" si="101"/>
        <v>0</v>
      </c>
      <c r="T209" s="59">
        <f t="shared" si="101"/>
        <v>0</v>
      </c>
      <c r="U209" s="59">
        <f t="shared" si="101"/>
        <v>0</v>
      </c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</row>
    <row r="210" spans="1:63" s="16" customFormat="1" ht="51" customHeight="1" hidden="1">
      <c r="A210" s="67" t="s">
        <v>137</v>
      </c>
      <c r="B210" s="68" t="s">
        <v>149</v>
      </c>
      <c r="C210" s="68" t="s">
        <v>158</v>
      </c>
      <c r="D210" s="69" t="s">
        <v>120</v>
      </c>
      <c r="E210" s="68" t="s">
        <v>138</v>
      </c>
      <c r="F210" s="59">
        <v>11448</v>
      </c>
      <c r="G210" s="59">
        <f>H210-F210</f>
        <v>10380</v>
      </c>
      <c r="H210" s="59">
        <v>21828</v>
      </c>
      <c r="I210" s="59"/>
      <c r="J210" s="59">
        <v>23378</v>
      </c>
      <c r="K210" s="61"/>
      <c r="L210" s="61"/>
      <c r="M210" s="59">
        <v>23378</v>
      </c>
      <c r="N210" s="59">
        <f>O210-M210</f>
        <v>-23378</v>
      </c>
      <c r="O210" s="59"/>
      <c r="P210" s="59"/>
      <c r="Q210" s="59"/>
      <c r="R210" s="59"/>
      <c r="S210" s="59"/>
      <c r="T210" s="59"/>
      <c r="U210" s="59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</row>
    <row r="211" spans="1:63" s="16" customFormat="1" ht="20.25" customHeight="1" hidden="1">
      <c r="A211" s="67" t="s">
        <v>211</v>
      </c>
      <c r="B211" s="68" t="s">
        <v>149</v>
      </c>
      <c r="C211" s="68" t="s">
        <v>158</v>
      </c>
      <c r="D211" s="69" t="s">
        <v>210</v>
      </c>
      <c r="E211" s="68"/>
      <c r="F211" s="59">
        <f aca="true" t="shared" si="102" ref="F211:U211">F212</f>
        <v>1617</v>
      </c>
      <c r="G211" s="59">
        <f t="shared" si="102"/>
        <v>51126</v>
      </c>
      <c r="H211" s="59">
        <f t="shared" si="102"/>
        <v>52743</v>
      </c>
      <c r="I211" s="59">
        <f t="shared" si="102"/>
        <v>50000</v>
      </c>
      <c r="J211" s="59">
        <f t="shared" si="102"/>
        <v>4263</v>
      </c>
      <c r="K211" s="59">
        <f t="shared" si="102"/>
        <v>0</v>
      </c>
      <c r="L211" s="59">
        <f t="shared" si="102"/>
        <v>0</v>
      </c>
      <c r="M211" s="59">
        <f t="shared" si="102"/>
        <v>4263</v>
      </c>
      <c r="N211" s="59">
        <f t="shared" si="102"/>
        <v>-4263</v>
      </c>
      <c r="O211" s="59">
        <f t="shared" si="102"/>
        <v>0</v>
      </c>
      <c r="P211" s="59">
        <f t="shared" si="102"/>
        <v>0</v>
      </c>
      <c r="Q211" s="59">
        <f t="shared" si="102"/>
        <v>0</v>
      </c>
      <c r="R211" s="59">
        <f t="shared" si="102"/>
        <v>0</v>
      </c>
      <c r="S211" s="59">
        <f t="shared" si="102"/>
        <v>0</v>
      </c>
      <c r="T211" s="59">
        <f t="shared" si="102"/>
        <v>0</v>
      </c>
      <c r="U211" s="59">
        <f t="shared" si="102"/>
        <v>0</v>
      </c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</row>
    <row r="212" spans="1:63" s="16" customFormat="1" ht="48" customHeight="1" hidden="1">
      <c r="A212" s="67" t="s">
        <v>164</v>
      </c>
      <c r="B212" s="68" t="s">
        <v>149</v>
      </c>
      <c r="C212" s="68" t="s">
        <v>158</v>
      </c>
      <c r="D212" s="69" t="s">
        <v>210</v>
      </c>
      <c r="E212" s="68" t="s">
        <v>165</v>
      </c>
      <c r="F212" s="59">
        <v>1617</v>
      </c>
      <c r="G212" s="59">
        <f>H212-F212</f>
        <v>51126</v>
      </c>
      <c r="H212" s="59">
        <v>52743</v>
      </c>
      <c r="I212" s="59">
        <v>50000</v>
      </c>
      <c r="J212" s="59">
        <v>4263</v>
      </c>
      <c r="K212" s="61"/>
      <c r="L212" s="61"/>
      <c r="M212" s="59">
        <v>4263</v>
      </c>
      <c r="N212" s="59">
        <f>O212-M212</f>
        <v>-4263</v>
      </c>
      <c r="O212" s="59"/>
      <c r="P212" s="59"/>
      <c r="Q212" s="59"/>
      <c r="R212" s="59"/>
      <c r="S212" s="59"/>
      <c r="T212" s="59"/>
      <c r="U212" s="59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</row>
    <row r="213" spans="1:63" s="16" customFormat="1" ht="26.25" customHeight="1">
      <c r="A213" s="67" t="s">
        <v>121</v>
      </c>
      <c r="B213" s="68" t="s">
        <v>149</v>
      </c>
      <c r="C213" s="68" t="s">
        <v>158</v>
      </c>
      <c r="D213" s="69" t="s">
        <v>122</v>
      </c>
      <c r="E213" s="68"/>
      <c r="F213" s="59"/>
      <c r="G213" s="59"/>
      <c r="H213" s="59"/>
      <c r="I213" s="59"/>
      <c r="J213" s="59"/>
      <c r="K213" s="61"/>
      <c r="L213" s="61"/>
      <c r="M213" s="59"/>
      <c r="N213" s="59">
        <f aca="true" t="shared" si="103" ref="N213:U214">N214</f>
        <v>7345</v>
      </c>
      <c r="O213" s="59">
        <f t="shared" si="103"/>
        <v>7345</v>
      </c>
      <c r="P213" s="59">
        <f t="shared" si="103"/>
        <v>0</v>
      </c>
      <c r="Q213" s="59">
        <f t="shared" si="103"/>
        <v>7345</v>
      </c>
      <c r="R213" s="59">
        <f t="shared" si="103"/>
        <v>0</v>
      </c>
      <c r="S213" s="59">
        <f t="shared" si="103"/>
        <v>0</v>
      </c>
      <c r="T213" s="59">
        <f t="shared" si="103"/>
        <v>7345</v>
      </c>
      <c r="U213" s="59">
        <f t="shared" si="103"/>
        <v>7345</v>
      </c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</row>
    <row r="214" spans="1:63" s="16" customFormat="1" ht="36" customHeight="1">
      <c r="A214" s="67" t="s">
        <v>314</v>
      </c>
      <c r="B214" s="68" t="s">
        <v>149</v>
      </c>
      <c r="C214" s="68" t="s">
        <v>158</v>
      </c>
      <c r="D214" s="69" t="s">
        <v>296</v>
      </c>
      <c r="E214" s="68"/>
      <c r="F214" s="59"/>
      <c r="G214" s="59"/>
      <c r="H214" s="59"/>
      <c r="I214" s="59"/>
      <c r="J214" s="59"/>
      <c r="K214" s="61"/>
      <c r="L214" s="61"/>
      <c r="M214" s="59"/>
      <c r="N214" s="59">
        <f t="shared" si="103"/>
        <v>7345</v>
      </c>
      <c r="O214" s="59">
        <f t="shared" si="103"/>
        <v>7345</v>
      </c>
      <c r="P214" s="59">
        <f t="shared" si="103"/>
        <v>0</v>
      </c>
      <c r="Q214" s="59">
        <f t="shared" si="103"/>
        <v>7345</v>
      </c>
      <c r="R214" s="59">
        <f t="shared" si="103"/>
        <v>0</v>
      </c>
      <c r="S214" s="59">
        <f t="shared" si="103"/>
        <v>0</v>
      </c>
      <c r="T214" s="59">
        <f t="shared" si="103"/>
        <v>7345</v>
      </c>
      <c r="U214" s="59">
        <f t="shared" si="103"/>
        <v>7345</v>
      </c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</row>
    <row r="215" spans="1:63" s="16" customFormat="1" ht="57" customHeight="1">
      <c r="A215" s="67" t="s">
        <v>137</v>
      </c>
      <c r="B215" s="68" t="s">
        <v>149</v>
      </c>
      <c r="C215" s="68" t="s">
        <v>158</v>
      </c>
      <c r="D215" s="69" t="s">
        <v>296</v>
      </c>
      <c r="E215" s="68" t="s">
        <v>138</v>
      </c>
      <c r="F215" s="59"/>
      <c r="G215" s="59"/>
      <c r="H215" s="59"/>
      <c r="I215" s="59"/>
      <c r="J215" s="59"/>
      <c r="K215" s="61"/>
      <c r="L215" s="61"/>
      <c r="M215" s="59"/>
      <c r="N215" s="59">
        <f>O215-M215</f>
        <v>7345</v>
      </c>
      <c r="O215" s="59">
        <v>7345</v>
      </c>
      <c r="P215" s="59"/>
      <c r="Q215" s="59">
        <v>7345</v>
      </c>
      <c r="R215" s="61"/>
      <c r="S215" s="61"/>
      <c r="T215" s="59">
        <f>O215+R215</f>
        <v>7345</v>
      </c>
      <c r="U215" s="59">
        <f>Q215+S215</f>
        <v>7345</v>
      </c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</row>
    <row r="216" spans="1:21" ht="15">
      <c r="A216" s="83"/>
      <c r="B216" s="84"/>
      <c r="C216" s="84"/>
      <c r="D216" s="85"/>
      <c r="E216" s="84"/>
      <c r="F216" s="45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</row>
    <row r="217" spans="1:63" s="8" customFormat="1" ht="20.25">
      <c r="A217" s="48" t="s">
        <v>58</v>
      </c>
      <c r="B217" s="49" t="s">
        <v>59</v>
      </c>
      <c r="C217" s="49"/>
      <c r="D217" s="50"/>
      <c r="E217" s="49"/>
      <c r="F217" s="114">
        <f aca="true" t="shared" si="104" ref="F217:O217">F219+F225+F233+F237+F241+F263</f>
        <v>2461012</v>
      </c>
      <c r="G217" s="114">
        <f t="shared" si="104"/>
        <v>266874</v>
      </c>
      <c r="H217" s="114">
        <f t="shared" si="104"/>
        <v>2727886</v>
      </c>
      <c r="I217" s="114">
        <f t="shared" si="104"/>
        <v>0</v>
      </c>
      <c r="J217" s="114">
        <f t="shared" si="104"/>
        <v>2894414</v>
      </c>
      <c r="K217" s="114">
        <f t="shared" si="104"/>
        <v>0</v>
      </c>
      <c r="L217" s="114">
        <f t="shared" si="104"/>
        <v>0</v>
      </c>
      <c r="M217" s="114">
        <f t="shared" si="104"/>
        <v>2894414</v>
      </c>
      <c r="N217" s="114">
        <f t="shared" si="104"/>
        <v>-952513</v>
      </c>
      <c r="O217" s="114">
        <f t="shared" si="104"/>
        <v>1941901</v>
      </c>
      <c r="P217" s="114">
        <f aca="true" t="shared" si="105" ref="P217:U217">P219+P225+P233+P237+P241+P263</f>
        <v>68735</v>
      </c>
      <c r="Q217" s="114">
        <f t="shared" si="105"/>
        <v>1944401</v>
      </c>
      <c r="R217" s="114">
        <f t="shared" si="105"/>
        <v>-1000</v>
      </c>
      <c r="S217" s="114">
        <f t="shared" si="105"/>
        <v>0</v>
      </c>
      <c r="T217" s="114">
        <f t="shared" si="105"/>
        <v>1940901</v>
      </c>
      <c r="U217" s="114">
        <f t="shared" si="105"/>
        <v>1944401</v>
      </c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</row>
    <row r="218" spans="1:63" s="8" customFormat="1" ht="12.75" customHeight="1">
      <c r="A218" s="48"/>
      <c r="B218" s="49"/>
      <c r="C218" s="49"/>
      <c r="D218" s="50"/>
      <c r="E218" s="49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</row>
    <row r="219" spans="1:63" s="8" customFormat="1" ht="17.25" customHeight="1">
      <c r="A219" s="53" t="s">
        <v>60</v>
      </c>
      <c r="B219" s="54" t="s">
        <v>136</v>
      </c>
      <c r="C219" s="54" t="s">
        <v>127</v>
      </c>
      <c r="D219" s="65"/>
      <c r="E219" s="54"/>
      <c r="F219" s="66">
        <f aca="true" t="shared" si="106" ref="F219:O219">F222+F220</f>
        <v>1040864</v>
      </c>
      <c r="G219" s="66">
        <f t="shared" si="106"/>
        <v>23186</v>
      </c>
      <c r="H219" s="66">
        <f t="shared" si="106"/>
        <v>1064050</v>
      </c>
      <c r="I219" s="66">
        <f t="shared" si="106"/>
        <v>0</v>
      </c>
      <c r="J219" s="66">
        <f t="shared" si="106"/>
        <v>1168261</v>
      </c>
      <c r="K219" s="66">
        <f t="shared" si="106"/>
        <v>-68781</v>
      </c>
      <c r="L219" s="66">
        <f t="shared" si="106"/>
        <v>-75065</v>
      </c>
      <c r="M219" s="66">
        <f t="shared" si="106"/>
        <v>1093196</v>
      </c>
      <c r="N219" s="66">
        <f t="shared" si="106"/>
        <v>-276722</v>
      </c>
      <c r="O219" s="66">
        <f t="shared" si="106"/>
        <v>816474</v>
      </c>
      <c r="P219" s="66">
        <f aca="true" t="shared" si="107" ref="P219:U219">P222+P220</f>
        <v>0</v>
      </c>
      <c r="Q219" s="66">
        <f t="shared" si="107"/>
        <v>837171</v>
      </c>
      <c r="R219" s="66">
        <f t="shared" si="107"/>
        <v>-1000</v>
      </c>
      <c r="S219" s="66">
        <f t="shared" si="107"/>
        <v>0</v>
      </c>
      <c r="T219" s="66">
        <f t="shared" si="107"/>
        <v>815474</v>
      </c>
      <c r="U219" s="66">
        <f t="shared" si="107"/>
        <v>837171</v>
      </c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</row>
    <row r="220" spans="1:63" s="8" customFormat="1" ht="53.25" customHeight="1">
      <c r="A220" s="67" t="s">
        <v>150</v>
      </c>
      <c r="B220" s="68" t="s">
        <v>136</v>
      </c>
      <c r="C220" s="68" t="s">
        <v>127</v>
      </c>
      <c r="D220" s="69" t="s">
        <v>38</v>
      </c>
      <c r="E220" s="115"/>
      <c r="F220" s="70">
        <f aca="true" t="shared" si="108" ref="F220:U220">F221</f>
        <v>2195</v>
      </c>
      <c r="G220" s="70">
        <f t="shared" si="108"/>
        <v>13840</v>
      </c>
      <c r="H220" s="70">
        <f t="shared" si="108"/>
        <v>16035</v>
      </c>
      <c r="I220" s="70">
        <f t="shared" si="108"/>
        <v>0</v>
      </c>
      <c r="J220" s="70">
        <f t="shared" si="108"/>
        <v>27790</v>
      </c>
      <c r="K220" s="70">
        <f t="shared" si="108"/>
        <v>0</v>
      </c>
      <c r="L220" s="70">
        <f t="shared" si="108"/>
        <v>0</v>
      </c>
      <c r="M220" s="70">
        <f t="shared" si="108"/>
        <v>27790</v>
      </c>
      <c r="N220" s="70">
        <f t="shared" si="108"/>
        <v>-22290</v>
      </c>
      <c r="O220" s="70">
        <f t="shared" si="108"/>
        <v>5500</v>
      </c>
      <c r="P220" s="70">
        <f t="shared" si="108"/>
        <v>0</v>
      </c>
      <c r="Q220" s="70">
        <f t="shared" si="108"/>
        <v>8000</v>
      </c>
      <c r="R220" s="70">
        <f t="shared" si="108"/>
        <v>-1000</v>
      </c>
      <c r="S220" s="70">
        <f t="shared" si="108"/>
        <v>0</v>
      </c>
      <c r="T220" s="70">
        <f t="shared" si="108"/>
        <v>4500</v>
      </c>
      <c r="U220" s="70">
        <f t="shared" si="108"/>
        <v>8000</v>
      </c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</row>
    <row r="221" spans="1:63" s="8" customFormat="1" ht="87" customHeight="1">
      <c r="A221" s="67" t="s">
        <v>256</v>
      </c>
      <c r="B221" s="68" t="s">
        <v>136</v>
      </c>
      <c r="C221" s="68" t="s">
        <v>127</v>
      </c>
      <c r="D221" s="69" t="s">
        <v>38</v>
      </c>
      <c r="E221" s="68" t="s">
        <v>151</v>
      </c>
      <c r="F221" s="59">
        <v>2195</v>
      </c>
      <c r="G221" s="59">
        <f>H221-F221</f>
        <v>13840</v>
      </c>
      <c r="H221" s="71">
        <v>16035</v>
      </c>
      <c r="I221" s="71"/>
      <c r="J221" s="71">
        <v>27790</v>
      </c>
      <c r="K221" s="116"/>
      <c r="L221" s="116"/>
      <c r="M221" s="59">
        <v>27790</v>
      </c>
      <c r="N221" s="59">
        <f>O221-M221</f>
        <v>-22290</v>
      </c>
      <c r="O221" s="59">
        <v>5500</v>
      </c>
      <c r="P221" s="59"/>
      <c r="Q221" s="59">
        <v>8000</v>
      </c>
      <c r="R221" s="59">
        <v>-1000</v>
      </c>
      <c r="S221" s="117"/>
      <c r="T221" s="59">
        <f>O221+R221</f>
        <v>4500</v>
      </c>
      <c r="U221" s="59">
        <f>Q221+S221</f>
        <v>8000</v>
      </c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</row>
    <row r="222" spans="1:63" s="8" customFormat="1" ht="20.25">
      <c r="A222" s="67" t="s">
        <v>61</v>
      </c>
      <c r="B222" s="68" t="s">
        <v>136</v>
      </c>
      <c r="C222" s="68" t="s">
        <v>127</v>
      </c>
      <c r="D222" s="69" t="s">
        <v>62</v>
      </c>
      <c r="E222" s="68"/>
      <c r="F222" s="70">
        <f aca="true" t="shared" si="109" ref="F222:U222">F223</f>
        <v>1038669</v>
      </c>
      <c r="G222" s="70">
        <f t="shared" si="109"/>
        <v>9346</v>
      </c>
      <c r="H222" s="70">
        <f t="shared" si="109"/>
        <v>1048015</v>
      </c>
      <c r="I222" s="70">
        <f t="shared" si="109"/>
        <v>0</v>
      </c>
      <c r="J222" s="70">
        <f t="shared" si="109"/>
        <v>1140471</v>
      </c>
      <c r="K222" s="70">
        <f t="shared" si="109"/>
        <v>-68781</v>
      </c>
      <c r="L222" s="70">
        <f t="shared" si="109"/>
        <v>-75065</v>
      </c>
      <c r="M222" s="70">
        <f t="shared" si="109"/>
        <v>1065406</v>
      </c>
      <c r="N222" s="70">
        <f t="shared" si="109"/>
        <v>-254432</v>
      </c>
      <c r="O222" s="70">
        <f t="shared" si="109"/>
        <v>810974</v>
      </c>
      <c r="P222" s="70">
        <f t="shared" si="109"/>
        <v>0</v>
      </c>
      <c r="Q222" s="70">
        <f t="shared" si="109"/>
        <v>829171</v>
      </c>
      <c r="R222" s="70">
        <f t="shared" si="109"/>
        <v>0</v>
      </c>
      <c r="S222" s="70">
        <f t="shared" si="109"/>
        <v>0</v>
      </c>
      <c r="T222" s="70">
        <f t="shared" si="109"/>
        <v>810974</v>
      </c>
      <c r="U222" s="70">
        <f t="shared" si="109"/>
        <v>829171</v>
      </c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</row>
    <row r="223" spans="1:63" s="8" customFormat="1" ht="39.75" customHeight="1">
      <c r="A223" s="67" t="s">
        <v>129</v>
      </c>
      <c r="B223" s="68" t="s">
        <v>136</v>
      </c>
      <c r="C223" s="68" t="s">
        <v>127</v>
      </c>
      <c r="D223" s="69" t="s">
        <v>62</v>
      </c>
      <c r="E223" s="68" t="s">
        <v>130</v>
      </c>
      <c r="F223" s="59">
        <v>1038669</v>
      </c>
      <c r="G223" s="59">
        <f>H223-F223</f>
        <v>9346</v>
      </c>
      <c r="H223" s="71">
        <v>1048015</v>
      </c>
      <c r="I223" s="71"/>
      <c r="J223" s="71">
        <v>1140471</v>
      </c>
      <c r="K223" s="71">
        <v>-68781</v>
      </c>
      <c r="L223" s="71">
        <v>-75065</v>
      </c>
      <c r="M223" s="59">
        <v>1065406</v>
      </c>
      <c r="N223" s="59">
        <f>O223-M223</f>
        <v>-254432</v>
      </c>
      <c r="O223" s="59">
        <v>810974</v>
      </c>
      <c r="P223" s="59"/>
      <c r="Q223" s="59">
        <v>829171</v>
      </c>
      <c r="R223" s="117"/>
      <c r="S223" s="117"/>
      <c r="T223" s="59">
        <f>O223+R223</f>
        <v>810974</v>
      </c>
      <c r="U223" s="59">
        <f>Q223+S223</f>
        <v>829171</v>
      </c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</row>
    <row r="224" spans="1:21" ht="15">
      <c r="A224" s="83"/>
      <c r="B224" s="84"/>
      <c r="C224" s="84"/>
      <c r="D224" s="85"/>
      <c r="E224" s="84"/>
      <c r="F224" s="91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47"/>
      <c r="S224" s="47"/>
      <c r="T224" s="47"/>
      <c r="U224" s="47"/>
    </row>
    <row r="225" spans="1:63" s="12" customFormat="1" ht="18.75">
      <c r="A225" s="53" t="s">
        <v>63</v>
      </c>
      <c r="B225" s="54" t="s">
        <v>136</v>
      </c>
      <c r="C225" s="54" t="s">
        <v>128</v>
      </c>
      <c r="D225" s="65"/>
      <c r="E225" s="54"/>
      <c r="F225" s="66">
        <f aca="true" t="shared" si="110" ref="F225:O225">F230+F228+F226</f>
        <v>1107938</v>
      </c>
      <c r="G225" s="66">
        <f t="shared" si="110"/>
        <v>205798</v>
      </c>
      <c r="H225" s="66">
        <f t="shared" si="110"/>
        <v>1313736</v>
      </c>
      <c r="I225" s="66">
        <f t="shared" si="110"/>
        <v>0</v>
      </c>
      <c r="J225" s="66">
        <f t="shared" si="110"/>
        <v>1475986</v>
      </c>
      <c r="K225" s="66">
        <f t="shared" si="110"/>
        <v>-144415</v>
      </c>
      <c r="L225" s="66">
        <f t="shared" si="110"/>
        <v>-157319</v>
      </c>
      <c r="M225" s="66">
        <f t="shared" si="110"/>
        <v>1318667</v>
      </c>
      <c r="N225" s="66">
        <f t="shared" si="110"/>
        <v>-416991</v>
      </c>
      <c r="O225" s="66">
        <f t="shared" si="110"/>
        <v>901676</v>
      </c>
      <c r="P225" s="66">
        <f aca="true" t="shared" si="111" ref="P225:U225">P230+P228+P226</f>
        <v>0</v>
      </c>
      <c r="Q225" s="66">
        <f t="shared" si="111"/>
        <v>919873</v>
      </c>
      <c r="R225" s="66">
        <f t="shared" si="111"/>
        <v>6490</v>
      </c>
      <c r="S225" s="66">
        <f t="shared" si="111"/>
        <v>6490</v>
      </c>
      <c r="T225" s="66">
        <f t="shared" si="111"/>
        <v>908166</v>
      </c>
      <c r="U225" s="66">
        <f t="shared" si="111"/>
        <v>926363</v>
      </c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</row>
    <row r="226" spans="1:63" s="12" customFormat="1" ht="55.5" customHeight="1">
      <c r="A226" s="67" t="s">
        <v>150</v>
      </c>
      <c r="B226" s="68" t="s">
        <v>136</v>
      </c>
      <c r="C226" s="68" t="s">
        <v>128</v>
      </c>
      <c r="D226" s="69" t="s">
        <v>38</v>
      </c>
      <c r="E226" s="115"/>
      <c r="F226" s="70">
        <f aca="true" t="shared" si="112" ref="F226:U226">F227</f>
        <v>67263</v>
      </c>
      <c r="G226" s="70">
        <f t="shared" si="112"/>
        <v>13412</v>
      </c>
      <c r="H226" s="70">
        <f t="shared" si="112"/>
        <v>80675</v>
      </c>
      <c r="I226" s="70">
        <f t="shared" si="112"/>
        <v>0</v>
      </c>
      <c r="J226" s="70">
        <f t="shared" si="112"/>
        <v>110207</v>
      </c>
      <c r="K226" s="70">
        <f t="shared" si="112"/>
        <v>0</v>
      </c>
      <c r="L226" s="70">
        <f t="shared" si="112"/>
        <v>0</v>
      </c>
      <c r="M226" s="70">
        <f t="shared" si="112"/>
        <v>110207</v>
      </c>
      <c r="N226" s="70">
        <f t="shared" si="112"/>
        <v>-109607</v>
      </c>
      <c r="O226" s="70">
        <f t="shared" si="112"/>
        <v>600</v>
      </c>
      <c r="P226" s="70">
        <f t="shared" si="112"/>
        <v>0</v>
      </c>
      <c r="Q226" s="70">
        <f t="shared" si="112"/>
        <v>600</v>
      </c>
      <c r="R226" s="70">
        <f t="shared" si="112"/>
        <v>0</v>
      </c>
      <c r="S226" s="70">
        <f t="shared" si="112"/>
        <v>0</v>
      </c>
      <c r="T226" s="70">
        <f t="shared" si="112"/>
        <v>600</v>
      </c>
      <c r="U226" s="70">
        <f t="shared" si="112"/>
        <v>600</v>
      </c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</row>
    <row r="227" spans="1:63" s="12" customFormat="1" ht="86.25" customHeight="1">
      <c r="A227" s="67" t="s">
        <v>256</v>
      </c>
      <c r="B227" s="68" t="s">
        <v>136</v>
      </c>
      <c r="C227" s="68" t="s">
        <v>128</v>
      </c>
      <c r="D227" s="69" t="s">
        <v>38</v>
      </c>
      <c r="E227" s="68" t="s">
        <v>151</v>
      </c>
      <c r="F227" s="59">
        <v>67263</v>
      </c>
      <c r="G227" s="59">
        <f>H227-F227</f>
        <v>13412</v>
      </c>
      <c r="H227" s="75">
        <v>80675</v>
      </c>
      <c r="I227" s="75"/>
      <c r="J227" s="75">
        <v>110207</v>
      </c>
      <c r="K227" s="118"/>
      <c r="L227" s="118"/>
      <c r="M227" s="59">
        <v>110207</v>
      </c>
      <c r="N227" s="59">
        <f>O227-M227</f>
        <v>-109607</v>
      </c>
      <c r="O227" s="59">
        <v>600</v>
      </c>
      <c r="P227" s="59"/>
      <c r="Q227" s="59">
        <v>600</v>
      </c>
      <c r="R227" s="82"/>
      <c r="S227" s="82"/>
      <c r="T227" s="59">
        <f>O227+R227</f>
        <v>600</v>
      </c>
      <c r="U227" s="59">
        <f>Q227+S227</f>
        <v>600</v>
      </c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</row>
    <row r="228" spans="1:63" s="12" customFormat="1" ht="39.75" customHeight="1">
      <c r="A228" s="67" t="s">
        <v>259</v>
      </c>
      <c r="B228" s="68" t="s">
        <v>136</v>
      </c>
      <c r="C228" s="68" t="s">
        <v>128</v>
      </c>
      <c r="D228" s="69" t="s">
        <v>64</v>
      </c>
      <c r="E228" s="68"/>
      <c r="F228" s="70">
        <f aca="true" t="shared" si="113" ref="F228:U228">F229</f>
        <v>573526</v>
      </c>
      <c r="G228" s="70">
        <f t="shared" si="113"/>
        <v>82674</v>
      </c>
      <c r="H228" s="70">
        <f t="shared" si="113"/>
        <v>656200</v>
      </c>
      <c r="I228" s="70">
        <f t="shared" si="113"/>
        <v>0</v>
      </c>
      <c r="J228" s="70">
        <f t="shared" si="113"/>
        <v>739716</v>
      </c>
      <c r="K228" s="70">
        <f t="shared" si="113"/>
        <v>-119300</v>
      </c>
      <c r="L228" s="70">
        <f t="shared" si="113"/>
        <v>-130548</v>
      </c>
      <c r="M228" s="70">
        <f t="shared" si="113"/>
        <v>609168</v>
      </c>
      <c r="N228" s="70">
        <f t="shared" si="113"/>
        <v>-146181</v>
      </c>
      <c r="O228" s="70">
        <f t="shared" si="113"/>
        <v>462987</v>
      </c>
      <c r="P228" s="70">
        <f t="shared" si="113"/>
        <v>0</v>
      </c>
      <c r="Q228" s="70">
        <f t="shared" si="113"/>
        <v>481184</v>
      </c>
      <c r="R228" s="70">
        <f t="shared" si="113"/>
        <v>0</v>
      </c>
      <c r="S228" s="70">
        <f t="shared" si="113"/>
        <v>0</v>
      </c>
      <c r="T228" s="70">
        <f t="shared" si="113"/>
        <v>462987</v>
      </c>
      <c r="U228" s="70">
        <f t="shared" si="113"/>
        <v>481184</v>
      </c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</row>
    <row r="229" spans="1:63" s="12" customFormat="1" ht="33.75">
      <c r="A229" s="67" t="s">
        <v>129</v>
      </c>
      <c r="B229" s="68" t="s">
        <v>136</v>
      </c>
      <c r="C229" s="68" t="s">
        <v>128</v>
      </c>
      <c r="D229" s="69" t="s">
        <v>64</v>
      </c>
      <c r="E229" s="68" t="s">
        <v>130</v>
      </c>
      <c r="F229" s="59">
        <v>573526</v>
      </c>
      <c r="G229" s="59">
        <f>H229-F229</f>
        <v>82674</v>
      </c>
      <c r="H229" s="75">
        <f>12408+646284-2492</f>
        <v>656200</v>
      </c>
      <c r="I229" s="75"/>
      <c r="J229" s="75">
        <f>13753+728818-2855</f>
        <v>739716</v>
      </c>
      <c r="K229" s="75">
        <v>-119300</v>
      </c>
      <c r="L229" s="75">
        <v>-130548</v>
      </c>
      <c r="M229" s="59">
        <v>609168</v>
      </c>
      <c r="N229" s="59">
        <f>O229-M229</f>
        <v>-146181</v>
      </c>
      <c r="O229" s="59">
        <f>8854+454133</f>
        <v>462987</v>
      </c>
      <c r="P229" s="59"/>
      <c r="Q229" s="59">
        <f>8854+472330</f>
        <v>481184</v>
      </c>
      <c r="R229" s="82"/>
      <c r="S229" s="82"/>
      <c r="T229" s="59">
        <f>O229+R229</f>
        <v>462987</v>
      </c>
      <c r="U229" s="59">
        <f>Q229+S229</f>
        <v>481184</v>
      </c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</row>
    <row r="230" spans="1:63" s="12" customFormat="1" ht="21.75" customHeight="1">
      <c r="A230" s="67" t="s">
        <v>65</v>
      </c>
      <c r="B230" s="68" t="s">
        <v>136</v>
      </c>
      <c r="C230" s="68" t="s">
        <v>128</v>
      </c>
      <c r="D230" s="69" t="s">
        <v>66</v>
      </c>
      <c r="E230" s="68"/>
      <c r="F230" s="70">
        <f aca="true" t="shared" si="114" ref="F230:U230">F231</f>
        <v>467149</v>
      </c>
      <c r="G230" s="70">
        <f t="shared" si="114"/>
        <v>109712</v>
      </c>
      <c r="H230" s="70">
        <f t="shared" si="114"/>
        <v>576861</v>
      </c>
      <c r="I230" s="70">
        <f t="shared" si="114"/>
        <v>0</v>
      </c>
      <c r="J230" s="70">
        <f t="shared" si="114"/>
        <v>626063</v>
      </c>
      <c r="K230" s="70">
        <f t="shared" si="114"/>
        <v>-25115</v>
      </c>
      <c r="L230" s="70">
        <f t="shared" si="114"/>
        <v>-26771</v>
      </c>
      <c r="M230" s="70">
        <f t="shared" si="114"/>
        <v>599292</v>
      </c>
      <c r="N230" s="70">
        <f t="shared" si="114"/>
        <v>-161203</v>
      </c>
      <c r="O230" s="70">
        <f t="shared" si="114"/>
        <v>438089</v>
      </c>
      <c r="P230" s="70">
        <f t="shared" si="114"/>
        <v>0</v>
      </c>
      <c r="Q230" s="70">
        <f t="shared" si="114"/>
        <v>438089</v>
      </c>
      <c r="R230" s="70">
        <f t="shared" si="114"/>
        <v>6490</v>
      </c>
      <c r="S230" s="70">
        <f t="shared" si="114"/>
        <v>6490</v>
      </c>
      <c r="T230" s="70">
        <f t="shared" si="114"/>
        <v>444579</v>
      </c>
      <c r="U230" s="70">
        <f t="shared" si="114"/>
        <v>444579</v>
      </c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</row>
    <row r="231" spans="1:63" s="14" customFormat="1" ht="33">
      <c r="A231" s="67" t="s">
        <v>129</v>
      </c>
      <c r="B231" s="68" t="s">
        <v>136</v>
      </c>
      <c r="C231" s="68" t="s">
        <v>128</v>
      </c>
      <c r="D231" s="69" t="s">
        <v>66</v>
      </c>
      <c r="E231" s="68" t="s">
        <v>130</v>
      </c>
      <c r="F231" s="59">
        <v>467149</v>
      </c>
      <c r="G231" s="59">
        <f>H231-F231</f>
        <v>109712</v>
      </c>
      <c r="H231" s="75">
        <f>159786+117293+300978-1196</f>
        <v>576861</v>
      </c>
      <c r="I231" s="75"/>
      <c r="J231" s="75">
        <f>172674+129187+325385-1183</f>
        <v>626063</v>
      </c>
      <c r="K231" s="75">
        <v>-25115</v>
      </c>
      <c r="L231" s="75">
        <v>-26771</v>
      </c>
      <c r="M231" s="59">
        <v>599292</v>
      </c>
      <c r="N231" s="59">
        <f>O231-M231</f>
        <v>-161203</v>
      </c>
      <c r="O231" s="59">
        <f>92234+213685+132170</f>
        <v>438089</v>
      </c>
      <c r="P231" s="59"/>
      <c r="Q231" s="59">
        <f>92234+213685+132170</f>
        <v>438089</v>
      </c>
      <c r="R231" s="59">
        <v>6490</v>
      </c>
      <c r="S231" s="59">
        <v>6490</v>
      </c>
      <c r="T231" s="59">
        <f>O231+R231</f>
        <v>444579</v>
      </c>
      <c r="U231" s="59">
        <f>Q231+S231</f>
        <v>444579</v>
      </c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</row>
    <row r="232" spans="1:63" s="16" customFormat="1" ht="16.5">
      <c r="A232" s="67"/>
      <c r="B232" s="68"/>
      <c r="C232" s="68"/>
      <c r="D232" s="102"/>
      <c r="E232" s="68"/>
      <c r="F232" s="119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61"/>
      <c r="S232" s="61"/>
      <c r="T232" s="61"/>
      <c r="U232" s="61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</row>
    <row r="233" spans="1:63" s="16" customFormat="1" ht="56.25">
      <c r="A233" s="53" t="s">
        <v>166</v>
      </c>
      <c r="B233" s="54" t="s">
        <v>136</v>
      </c>
      <c r="C233" s="54" t="s">
        <v>158</v>
      </c>
      <c r="D233" s="65"/>
      <c r="E233" s="54"/>
      <c r="F233" s="56">
        <f aca="true" t="shared" si="115" ref="F233:U234">F234</f>
        <v>4930</v>
      </c>
      <c r="G233" s="56">
        <f t="shared" si="115"/>
        <v>417</v>
      </c>
      <c r="H233" s="56">
        <f t="shared" si="115"/>
        <v>5347</v>
      </c>
      <c r="I233" s="56">
        <f t="shared" si="115"/>
        <v>0</v>
      </c>
      <c r="J233" s="56">
        <f t="shared" si="115"/>
        <v>5745</v>
      </c>
      <c r="K233" s="56">
        <f t="shared" si="115"/>
        <v>0</v>
      </c>
      <c r="L233" s="56">
        <f t="shared" si="115"/>
        <v>0</v>
      </c>
      <c r="M233" s="56">
        <f t="shared" si="115"/>
        <v>5745</v>
      </c>
      <c r="N233" s="56">
        <f t="shared" si="115"/>
        <v>-1209</v>
      </c>
      <c r="O233" s="56">
        <f t="shared" si="115"/>
        <v>4536</v>
      </c>
      <c r="P233" s="56">
        <f t="shared" si="115"/>
        <v>0</v>
      </c>
      <c r="Q233" s="56">
        <f t="shared" si="115"/>
        <v>4536</v>
      </c>
      <c r="R233" s="56">
        <f t="shared" si="115"/>
        <v>0</v>
      </c>
      <c r="S233" s="56">
        <f t="shared" si="115"/>
        <v>0</v>
      </c>
      <c r="T233" s="56">
        <f t="shared" si="115"/>
        <v>4536</v>
      </c>
      <c r="U233" s="56">
        <f t="shared" si="115"/>
        <v>4536</v>
      </c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</row>
    <row r="234" spans="1:63" s="10" customFormat="1" ht="33">
      <c r="A234" s="67" t="s">
        <v>67</v>
      </c>
      <c r="B234" s="68" t="s">
        <v>136</v>
      </c>
      <c r="C234" s="68" t="s">
        <v>158</v>
      </c>
      <c r="D234" s="69" t="s">
        <v>68</v>
      </c>
      <c r="E234" s="68"/>
      <c r="F234" s="59">
        <f t="shared" si="115"/>
        <v>4930</v>
      </c>
      <c r="G234" s="59">
        <f t="shared" si="115"/>
        <v>417</v>
      </c>
      <c r="H234" s="59">
        <f t="shared" si="115"/>
        <v>5347</v>
      </c>
      <c r="I234" s="59">
        <f t="shared" si="115"/>
        <v>0</v>
      </c>
      <c r="J234" s="59">
        <f t="shared" si="115"/>
        <v>5745</v>
      </c>
      <c r="K234" s="59">
        <f t="shared" si="115"/>
        <v>0</v>
      </c>
      <c r="L234" s="59">
        <f t="shared" si="115"/>
        <v>0</v>
      </c>
      <c r="M234" s="59">
        <f t="shared" si="115"/>
        <v>5745</v>
      </c>
      <c r="N234" s="59">
        <f t="shared" si="115"/>
        <v>-1209</v>
      </c>
      <c r="O234" s="59">
        <f t="shared" si="115"/>
        <v>4536</v>
      </c>
      <c r="P234" s="59">
        <f t="shared" si="115"/>
        <v>0</v>
      </c>
      <c r="Q234" s="59">
        <f t="shared" si="115"/>
        <v>4536</v>
      </c>
      <c r="R234" s="59">
        <f t="shared" si="115"/>
        <v>0</v>
      </c>
      <c r="S234" s="59">
        <f t="shared" si="115"/>
        <v>0</v>
      </c>
      <c r="T234" s="59">
        <f t="shared" si="115"/>
        <v>4536</v>
      </c>
      <c r="U234" s="59">
        <f t="shared" si="115"/>
        <v>4536</v>
      </c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</row>
    <row r="235" spans="1:63" s="26" customFormat="1" ht="33">
      <c r="A235" s="67" t="s">
        <v>129</v>
      </c>
      <c r="B235" s="68" t="s">
        <v>136</v>
      </c>
      <c r="C235" s="68" t="s">
        <v>158</v>
      </c>
      <c r="D235" s="69" t="s">
        <v>68</v>
      </c>
      <c r="E235" s="68" t="s">
        <v>130</v>
      </c>
      <c r="F235" s="59">
        <v>4930</v>
      </c>
      <c r="G235" s="59">
        <f>H235-F235</f>
        <v>417</v>
      </c>
      <c r="H235" s="75">
        <f>2681+2666</f>
        <v>5347</v>
      </c>
      <c r="I235" s="75"/>
      <c r="J235" s="75">
        <f>2890+2855</f>
        <v>5745</v>
      </c>
      <c r="K235" s="120"/>
      <c r="L235" s="120"/>
      <c r="M235" s="59">
        <v>5745</v>
      </c>
      <c r="N235" s="59">
        <f>O235-M235</f>
        <v>-1209</v>
      </c>
      <c r="O235" s="59">
        <f>2350+2186</f>
        <v>4536</v>
      </c>
      <c r="P235" s="59"/>
      <c r="Q235" s="59">
        <f>2350+2186</f>
        <v>4536</v>
      </c>
      <c r="R235" s="98"/>
      <c r="S235" s="98"/>
      <c r="T235" s="59">
        <f>O235+R235</f>
        <v>4536</v>
      </c>
      <c r="U235" s="59">
        <f>Q235+S235</f>
        <v>4536</v>
      </c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</row>
    <row r="236" spans="1:63" s="26" customFormat="1" ht="16.5">
      <c r="A236" s="67"/>
      <c r="B236" s="68"/>
      <c r="C236" s="68"/>
      <c r="D236" s="69"/>
      <c r="E236" s="68"/>
      <c r="F236" s="121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98"/>
      <c r="S236" s="98"/>
      <c r="T236" s="98"/>
      <c r="U236" s="98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</row>
    <row r="237" spans="1:63" s="26" customFormat="1" ht="37.5">
      <c r="A237" s="53" t="s">
        <v>168</v>
      </c>
      <c r="B237" s="54" t="s">
        <v>136</v>
      </c>
      <c r="C237" s="54" t="s">
        <v>149</v>
      </c>
      <c r="D237" s="65"/>
      <c r="E237" s="54"/>
      <c r="F237" s="66">
        <f aca="true" t="shared" si="116" ref="F237:U238">F238</f>
        <v>43777</v>
      </c>
      <c r="G237" s="66">
        <f t="shared" si="116"/>
        <v>674</v>
      </c>
      <c r="H237" s="66">
        <f t="shared" si="116"/>
        <v>44451</v>
      </c>
      <c r="I237" s="66">
        <f t="shared" si="116"/>
        <v>0</v>
      </c>
      <c r="J237" s="66">
        <f t="shared" si="116"/>
        <v>50448</v>
      </c>
      <c r="K237" s="66">
        <f t="shared" si="116"/>
        <v>0</v>
      </c>
      <c r="L237" s="66">
        <f t="shared" si="116"/>
        <v>0</v>
      </c>
      <c r="M237" s="66">
        <f t="shared" si="116"/>
        <v>50448</v>
      </c>
      <c r="N237" s="66">
        <f t="shared" si="116"/>
        <v>-13658</v>
      </c>
      <c r="O237" s="66">
        <f t="shared" si="116"/>
        <v>36790</v>
      </c>
      <c r="P237" s="66">
        <f t="shared" si="116"/>
        <v>0</v>
      </c>
      <c r="Q237" s="66">
        <f t="shared" si="116"/>
        <v>36790</v>
      </c>
      <c r="R237" s="66">
        <f t="shared" si="116"/>
        <v>0</v>
      </c>
      <c r="S237" s="66">
        <f t="shared" si="116"/>
        <v>0</v>
      </c>
      <c r="T237" s="66">
        <f t="shared" si="116"/>
        <v>36790</v>
      </c>
      <c r="U237" s="66">
        <f t="shared" si="116"/>
        <v>36790</v>
      </c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</row>
    <row r="238" spans="1:63" s="26" customFormat="1" ht="16.5">
      <c r="A238" s="67" t="s">
        <v>69</v>
      </c>
      <c r="B238" s="68" t="s">
        <v>136</v>
      </c>
      <c r="C238" s="68" t="s">
        <v>149</v>
      </c>
      <c r="D238" s="69" t="s">
        <v>70</v>
      </c>
      <c r="E238" s="68"/>
      <c r="F238" s="70">
        <f t="shared" si="116"/>
        <v>43777</v>
      </c>
      <c r="G238" s="70">
        <f t="shared" si="116"/>
        <v>674</v>
      </c>
      <c r="H238" s="70">
        <f t="shared" si="116"/>
        <v>44451</v>
      </c>
      <c r="I238" s="70">
        <f t="shared" si="116"/>
        <v>0</v>
      </c>
      <c r="J238" s="70">
        <f t="shared" si="116"/>
        <v>50448</v>
      </c>
      <c r="K238" s="70">
        <f t="shared" si="116"/>
        <v>0</v>
      </c>
      <c r="L238" s="70">
        <f t="shared" si="116"/>
        <v>0</v>
      </c>
      <c r="M238" s="70">
        <f t="shared" si="116"/>
        <v>50448</v>
      </c>
      <c r="N238" s="70">
        <f t="shared" si="116"/>
        <v>-13658</v>
      </c>
      <c r="O238" s="70">
        <f t="shared" si="116"/>
        <v>36790</v>
      </c>
      <c r="P238" s="70">
        <f t="shared" si="116"/>
        <v>0</v>
      </c>
      <c r="Q238" s="70">
        <f t="shared" si="116"/>
        <v>36790</v>
      </c>
      <c r="R238" s="70">
        <f t="shared" si="116"/>
        <v>0</v>
      </c>
      <c r="S238" s="70">
        <f t="shared" si="116"/>
        <v>0</v>
      </c>
      <c r="T238" s="70">
        <f t="shared" si="116"/>
        <v>36790</v>
      </c>
      <c r="U238" s="70">
        <f t="shared" si="116"/>
        <v>36790</v>
      </c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</row>
    <row r="239" spans="1:63" s="26" customFormat="1" ht="33">
      <c r="A239" s="67" t="s">
        <v>129</v>
      </c>
      <c r="B239" s="68" t="s">
        <v>136</v>
      </c>
      <c r="C239" s="68" t="s">
        <v>149</v>
      </c>
      <c r="D239" s="69" t="s">
        <v>70</v>
      </c>
      <c r="E239" s="68" t="s">
        <v>130</v>
      </c>
      <c r="F239" s="59">
        <v>43777</v>
      </c>
      <c r="G239" s="59">
        <f>H239-F239</f>
        <v>674</v>
      </c>
      <c r="H239" s="75">
        <v>44451</v>
      </c>
      <c r="I239" s="75"/>
      <c r="J239" s="75">
        <v>50448</v>
      </c>
      <c r="K239" s="120"/>
      <c r="L239" s="120"/>
      <c r="M239" s="59">
        <v>50448</v>
      </c>
      <c r="N239" s="59">
        <f>O239-M239</f>
        <v>-13658</v>
      </c>
      <c r="O239" s="59">
        <v>36790</v>
      </c>
      <c r="P239" s="59"/>
      <c r="Q239" s="59">
        <v>36790</v>
      </c>
      <c r="R239" s="98"/>
      <c r="S239" s="98"/>
      <c r="T239" s="59">
        <f>O239+R239</f>
        <v>36790</v>
      </c>
      <c r="U239" s="59">
        <f>Q239+S239</f>
        <v>36790</v>
      </c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</row>
    <row r="240" spans="1:63" s="26" customFormat="1" ht="16.5">
      <c r="A240" s="67"/>
      <c r="B240" s="68"/>
      <c r="C240" s="68"/>
      <c r="D240" s="69"/>
      <c r="E240" s="68"/>
      <c r="F240" s="121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98"/>
      <c r="S240" s="98"/>
      <c r="T240" s="98"/>
      <c r="U240" s="98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</row>
    <row r="241" spans="1:63" s="26" customFormat="1" ht="37.5">
      <c r="A241" s="53" t="s">
        <v>71</v>
      </c>
      <c r="B241" s="54" t="s">
        <v>136</v>
      </c>
      <c r="C241" s="54" t="s">
        <v>136</v>
      </c>
      <c r="D241" s="65"/>
      <c r="E241" s="54"/>
      <c r="F241" s="66">
        <f aca="true" t="shared" si="117" ref="F241:O241">F246+F242+F248</f>
        <v>44527</v>
      </c>
      <c r="G241" s="66">
        <f t="shared" si="117"/>
        <v>21442</v>
      </c>
      <c r="H241" s="66">
        <f t="shared" si="117"/>
        <v>65969</v>
      </c>
      <c r="I241" s="66">
        <f t="shared" si="117"/>
        <v>0</v>
      </c>
      <c r="J241" s="66">
        <f t="shared" si="117"/>
        <v>70787</v>
      </c>
      <c r="K241" s="66">
        <f t="shared" si="117"/>
        <v>0</v>
      </c>
      <c r="L241" s="66">
        <f t="shared" si="117"/>
        <v>0</v>
      </c>
      <c r="M241" s="66">
        <f t="shared" si="117"/>
        <v>70787</v>
      </c>
      <c r="N241" s="66">
        <f t="shared" si="117"/>
        <v>-35039</v>
      </c>
      <c r="O241" s="66">
        <f t="shared" si="117"/>
        <v>35748</v>
      </c>
      <c r="P241" s="66">
        <f aca="true" t="shared" si="118" ref="P241:U241">P246+P242+P248</f>
        <v>4971</v>
      </c>
      <c r="Q241" s="66">
        <f t="shared" si="118"/>
        <v>35748</v>
      </c>
      <c r="R241" s="66">
        <f t="shared" si="118"/>
        <v>0</v>
      </c>
      <c r="S241" s="66">
        <f t="shared" si="118"/>
        <v>0</v>
      </c>
      <c r="T241" s="66">
        <f t="shared" si="118"/>
        <v>35748</v>
      </c>
      <c r="U241" s="66">
        <f t="shared" si="118"/>
        <v>35748</v>
      </c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</row>
    <row r="242" spans="1:63" s="26" customFormat="1" ht="33">
      <c r="A242" s="67" t="s">
        <v>72</v>
      </c>
      <c r="B242" s="68" t="s">
        <v>136</v>
      </c>
      <c r="C242" s="68" t="s">
        <v>136</v>
      </c>
      <c r="D242" s="69" t="s">
        <v>73</v>
      </c>
      <c r="E242" s="68"/>
      <c r="F242" s="59">
        <f>F243+F245</f>
        <v>26550</v>
      </c>
      <c r="G242" s="59">
        <f aca="true" t="shared" si="119" ref="G242:O242">G243+G244</f>
        <v>4147</v>
      </c>
      <c r="H242" s="59">
        <f t="shared" si="119"/>
        <v>30697</v>
      </c>
      <c r="I242" s="59">
        <f t="shared" si="119"/>
        <v>0</v>
      </c>
      <c r="J242" s="59">
        <f t="shared" si="119"/>
        <v>33007</v>
      </c>
      <c r="K242" s="59">
        <f t="shared" si="119"/>
        <v>-489</v>
      </c>
      <c r="L242" s="59">
        <f t="shared" si="119"/>
        <v>-524</v>
      </c>
      <c r="M242" s="59">
        <f t="shared" si="119"/>
        <v>32483</v>
      </c>
      <c r="N242" s="59">
        <f t="shared" si="119"/>
        <v>-10003</v>
      </c>
      <c r="O242" s="59">
        <f t="shared" si="119"/>
        <v>22480</v>
      </c>
      <c r="P242" s="59">
        <f aca="true" t="shared" si="120" ref="P242:U242">P243+P244</f>
        <v>0</v>
      </c>
      <c r="Q242" s="59">
        <f t="shared" si="120"/>
        <v>23114</v>
      </c>
      <c r="R242" s="59">
        <f t="shared" si="120"/>
        <v>0</v>
      </c>
      <c r="S242" s="59">
        <f t="shared" si="120"/>
        <v>0</v>
      </c>
      <c r="T242" s="59">
        <f t="shared" si="120"/>
        <v>22480</v>
      </c>
      <c r="U242" s="59">
        <f t="shared" si="120"/>
        <v>23114</v>
      </c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</row>
    <row r="243" spans="1:63" s="26" customFormat="1" ht="33">
      <c r="A243" s="67" t="s">
        <v>129</v>
      </c>
      <c r="B243" s="68" t="s">
        <v>136</v>
      </c>
      <c r="C243" s="68" t="s">
        <v>136</v>
      </c>
      <c r="D243" s="69" t="s">
        <v>73</v>
      </c>
      <c r="E243" s="68" t="s">
        <v>130</v>
      </c>
      <c r="F243" s="59">
        <v>26550</v>
      </c>
      <c r="G243" s="59">
        <f>H243-F243</f>
        <v>4147</v>
      </c>
      <c r="H243" s="75">
        <f>30697</f>
        <v>30697</v>
      </c>
      <c r="I243" s="75"/>
      <c r="J243" s="75">
        <f>33007</f>
        <v>33007</v>
      </c>
      <c r="K243" s="75">
        <v>-489</v>
      </c>
      <c r="L243" s="75">
        <v>-524</v>
      </c>
      <c r="M243" s="59">
        <v>32483</v>
      </c>
      <c r="N243" s="59">
        <f>O243-M243</f>
        <v>-10003</v>
      </c>
      <c r="O243" s="59">
        <v>22480</v>
      </c>
      <c r="P243" s="59"/>
      <c r="Q243" s="59">
        <v>23114</v>
      </c>
      <c r="R243" s="98"/>
      <c r="S243" s="98"/>
      <c r="T243" s="59">
        <f>O243+R243</f>
        <v>22480</v>
      </c>
      <c r="U243" s="59">
        <f>Q243+S243</f>
        <v>23114</v>
      </c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</row>
    <row r="244" spans="1:63" s="26" customFormat="1" ht="66" hidden="1">
      <c r="A244" s="67" t="s">
        <v>237</v>
      </c>
      <c r="B244" s="68" t="s">
        <v>136</v>
      </c>
      <c r="C244" s="68" t="s">
        <v>136</v>
      </c>
      <c r="D244" s="69" t="s">
        <v>236</v>
      </c>
      <c r="E244" s="68"/>
      <c r="F244" s="59"/>
      <c r="G244" s="59">
        <f>G245</f>
        <v>0</v>
      </c>
      <c r="H244" s="59">
        <f>H245</f>
        <v>0</v>
      </c>
      <c r="I244" s="59">
        <f>I245</f>
        <v>0</v>
      </c>
      <c r="J244" s="59">
        <f>J245</f>
        <v>0</v>
      </c>
      <c r="K244" s="120"/>
      <c r="L244" s="120"/>
      <c r="M244" s="120"/>
      <c r="N244" s="120"/>
      <c r="O244" s="120"/>
      <c r="P244" s="120"/>
      <c r="Q244" s="120"/>
      <c r="R244" s="98"/>
      <c r="S244" s="98"/>
      <c r="T244" s="98"/>
      <c r="U244" s="98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</row>
    <row r="245" spans="1:63" s="26" customFormat="1" ht="87" customHeight="1" hidden="1">
      <c r="A245" s="86" t="s">
        <v>238</v>
      </c>
      <c r="B245" s="68" t="s">
        <v>136</v>
      </c>
      <c r="C245" s="68" t="s">
        <v>136</v>
      </c>
      <c r="D245" s="69" t="s">
        <v>236</v>
      </c>
      <c r="E245" s="68" t="s">
        <v>241</v>
      </c>
      <c r="F245" s="59"/>
      <c r="G245" s="59">
        <f>H245-F245</f>
        <v>0</v>
      </c>
      <c r="H245" s="75">
        <f>5989-5989</f>
        <v>0</v>
      </c>
      <c r="I245" s="75"/>
      <c r="J245" s="75">
        <f>6414-6414</f>
        <v>0</v>
      </c>
      <c r="K245" s="120"/>
      <c r="L245" s="120"/>
      <c r="M245" s="120"/>
      <c r="N245" s="120"/>
      <c r="O245" s="120"/>
      <c r="P245" s="120"/>
      <c r="Q245" s="120"/>
      <c r="R245" s="98"/>
      <c r="S245" s="98"/>
      <c r="T245" s="98"/>
      <c r="U245" s="98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</row>
    <row r="246" spans="1:63" s="26" customFormat="1" ht="36" customHeight="1">
      <c r="A246" s="67" t="s">
        <v>74</v>
      </c>
      <c r="B246" s="68" t="s">
        <v>136</v>
      </c>
      <c r="C246" s="68" t="s">
        <v>136</v>
      </c>
      <c r="D246" s="69" t="s">
        <v>75</v>
      </c>
      <c r="E246" s="68"/>
      <c r="F246" s="70">
        <f aca="true" t="shared" si="121" ref="F246:U246">F247</f>
        <v>5192</v>
      </c>
      <c r="G246" s="70">
        <f t="shared" si="121"/>
        <v>8701</v>
      </c>
      <c r="H246" s="70">
        <f t="shared" si="121"/>
        <v>13893</v>
      </c>
      <c r="I246" s="70">
        <f t="shared" si="121"/>
        <v>0</v>
      </c>
      <c r="J246" s="70">
        <f t="shared" si="121"/>
        <v>14880</v>
      </c>
      <c r="K246" s="70">
        <f t="shared" si="121"/>
        <v>0</v>
      </c>
      <c r="L246" s="70">
        <f t="shared" si="121"/>
        <v>0</v>
      </c>
      <c r="M246" s="70">
        <f t="shared" si="121"/>
        <v>14880</v>
      </c>
      <c r="N246" s="70">
        <f t="shared" si="121"/>
        <v>-9909</v>
      </c>
      <c r="O246" s="70">
        <f t="shared" si="121"/>
        <v>4971</v>
      </c>
      <c r="P246" s="70">
        <f t="shared" si="121"/>
        <v>4971</v>
      </c>
      <c r="Q246" s="70">
        <f t="shared" si="121"/>
        <v>4971</v>
      </c>
      <c r="R246" s="70">
        <f t="shared" si="121"/>
        <v>0</v>
      </c>
      <c r="S246" s="70">
        <f t="shared" si="121"/>
        <v>0</v>
      </c>
      <c r="T246" s="70">
        <f t="shared" si="121"/>
        <v>4971</v>
      </c>
      <c r="U246" s="70">
        <f t="shared" si="121"/>
        <v>4971</v>
      </c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</row>
    <row r="247" spans="1:63" s="26" customFormat="1" ht="51" customHeight="1">
      <c r="A247" s="67" t="s">
        <v>137</v>
      </c>
      <c r="B247" s="68" t="s">
        <v>136</v>
      </c>
      <c r="C247" s="68" t="s">
        <v>136</v>
      </c>
      <c r="D247" s="69" t="s">
        <v>75</v>
      </c>
      <c r="E247" s="68" t="s">
        <v>138</v>
      </c>
      <c r="F247" s="59">
        <v>5192</v>
      </c>
      <c r="G247" s="59">
        <f>H247-F247</f>
        <v>8701</v>
      </c>
      <c r="H247" s="75">
        <v>13893</v>
      </c>
      <c r="I247" s="75"/>
      <c r="J247" s="75">
        <v>14880</v>
      </c>
      <c r="K247" s="120"/>
      <c r="L247" s="120"/>
      <c r="M247" s="59">
        <v>14880</v>
      </c>
      <c r="N247" s="59">
        <f>O247-M247</f>
        <v>-9909</v>
      </c>
      <c r="O247" s="59">
        <v>4971</v>
      </c>
      <c r="P247" s="59">
        <v>4971</v>
      </c>
      <c r="Q247" s="59">
        <v>4971</v>
      </c>
      <c r="R247" s="98"/>
      <c r="S247" s="98"/>
      <c r="T247" s="59">
        <f>O247+R247</f>
        <v>4971</v>
      </c>
      <c r="U247" s="59">
        <f>Q247+S247</f>
        <v>4971</v>
      </c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</row>
    <row r="248" spans="1:63" s="26" customFormat="1" ht="21" customHeight="1">
      <c r="A248" s="67" t="s">
        <v>121</v>
      </c>
      <c r="B248" s="68" t="s">
        <v>136</v>
      </c>
      <c r="C248" s="68" t="s">
        <v>136</v>
      </c>
      <c r="D248" s="69" t="s">
        <v>122</v>
      </c>
      <c r="E248" s="68"/>
      <c r="F248" s="59">
        <f>F249</f>
        <v>12785</v>
      </c>
      <c r="G248" s="59">
        <f aca="true" t="shared" si="122" ref="G248:M248">G249+G250</f>
        <v>8594</v>
      </c>
      <c r="H248" s="59">
        <f t="shared" si="122"/>
        <v>21379</v>
      </c>
      <c r="I248" s="59">
        <f t="shared" si="122"/>
        <v>0</v>
      </c>
      <c r="J248" s="59">
        <f t="shared" si="122"/>
        <v>22900</v>
      </c>
      <c r="K248" s="59">
        <f t="shared" si="122"/>
        <v>489</v>
      </c>
      <c r="L248" s="59">
        <f t="shared" si="122"/>
        <v>524</v>
      </c>
      <c r="M248" s="59">
        <f t="shared" si="122"/>
        <v>23424</v>
      </c>
      <c r="N248" s="59">
        <f aca="true" t="shared" si="123" ref="N248:U248">N249+N250+N252+N259+N257</f>
        <v>-15127</v>
      </c>
      <c r="O248" s="59">
        <f t="shared" si="123"/>
        <v>8297</v>
      </c>
      <c r="P248" s="59">
        <f t="shared" si="123"/>
        <v>0</v>
      </c>
      <c r="Q248" s="59">
        <f t="shared" si="123"/>
        <v>7663</v>
      </c>
      <c r="R248" s="59">
        <f t="shared" si="123"/>
        <v>0</v>
      </c>
      <c r="S248" s="59">
        <f t="shared" si="123"/>
        <v>0</v>
      </c>
      <c r="T248" s="59">
        <f t="shared" si="123"/>
        <v>8297</v>
      </c>
      <c r="U248" s="59">
        <f t="shared" si="123"/>
        <v>7663</v>
      </c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</row>
    <row r="249" spans="1:63" s="26" customFormat="1" ht="60" customHeight="1" hidden="1">
      <c r="A249" s="67" t="s">
        <v>137</v>
      </c>
      <c r="B249" s="68" t="s">
        <v>136</v>
      </c>
      <c r="C249" s="68" t="s">
        <v>136</v>
      </c>
      <c r="D249" s="69" t="s">
        <v>122</v>
      </c>
      <c r="E249" s="68" t="s">
        <v>138</v>
      </c>
      <c r="F249" s="59">
        <v>12785</v>
      </c>
      <c r="G249" s="59">
        <f>H249-F249</f>
        <v>3461</v>
      </c>
      <c r="H249" s="75">
        <f>10599+5647</f>
        <v>16246</v>
      </c>
      <c r="I249" s="75"/>
      <c r="J249" s="75">
        <f>11352+6051</f>
        <v>17403</v>
      </c>
      <c r="K249" s="75">
        <v>489</v>
      </c>
      <c r="L249" s="75">
        <v>524</v>
      </c>
      <c r="M249" s="59">
        <v>17927</v>
      </c>
      <c r="N249" s="59">
        <f>O249-M249</f>
        <v>-17927</v>
      </c>
      <c r="O249" s="59"/>
      <c r="P249" s="59"/>
      <c r="Q249" s="59"/>
      <c r="R249" s="59"/>
      <c r="S249" s="59"/>
      <c r="T249" s="59"/>
      <c r="U249" s="59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</row>
    <row r="250" spans="1:63" s="26" customFormat="1" ht="72" customHeight="1" hidden="1">
      <c r="A250" s="67" t="s">
        <v>237</v>
      </c>
      <c r="B250" s="68" t="s">
        <v>136</v>
      </c>
      <c r="C250" s="68" t="s">
        <v>136</v>
      </c>
      <c r="D250" s="69" t="s">
        <v>248</v>
      </c>
      <c r="E250" s="68"/>
      <c r="F250" s="59"/>
      <c r="G250" s="59">
        <f aca="true" t="shared" si="124" ref="G250:U250">G251</f>
        <v>5133</v>
      </c>
      <c r="H250" s="59">
        <f t="shared" si="124"/>
        <v>5133</v>
      </c>
      <c r="I250" s="59">
        <f t="shared" si="124"/>
        <v>0</v>
      </c>
      <c r="J250" s="59">
        <f t="shared" si="124"/>
        <v>5497</v>
      </c>
      <c r="K250" s="59">
        <f t="shared" si="124"/>
        <v>0</v>
      </c>
      <c r="L250" s="59">
        <f t="shared" si="124"/>
        <v>0</v>
      </c>
      <c r="M250" s="59">
        <f t="shared" si="124"/>
        <v>5497</v>
      </c>
      <c r="N250" s="59">
        <f t="shared" si="124"/>
        <v>-5497</v>
      </c>
      <c r="O250" s="59">
        <f t="shared" si="124"/>
        <v>0</v>
      </c>
      <c r="P250" s="59">
        <f t="shared" si="124"/>
        <v>0</v>
      </c>
      <c r="Q250" s="59">
        <f t="shared" si="124"/>
        <v>0</v>
      </c>
      <c r="R250" s="59">
        <f t="shared" si="124"/>
        <v>0</v>
      </c>
      <c r="S250" s="59">
        <f t="shared" si="124"/>
        <v>0</v>
      </c>
      <c r="T250" s="59">
        <f t="shared" si="124"/>
        <v>0</v>
      </c>
      <c r="U250" s="59">
        <f t="shared" si="124"/>
        <v>0</v>
      </c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</row>
    <row r="251" spans="1:63" s="26" customFormat="1" ht="87" customHeight="1" hidden="1">
      <c r="A251" s="67" t="s">
        <v>305</v>
      </c>
      <c r="B251" s="68" t="s">
        <v>136</v>
      </c>
      <c r="C251" s="68" t="s">
        <v>136</v>
      </c>
      <c r="D251" s="69" t="s">
        <v>248</v>
      </c>
      <c r="E251" s="68" t="s">
        <v>241</v>
      </c>
      <c r="F251" s="59"/>
      <c r="G251" s="59">
        <f>H251-F251</f>
        <v>5133</v>
      </c>
      <c r="H251" s="75">
        <v>5133</v>
      </c>
      <c r="I251" s="75"/>
      <c r="J251" s="75">
        <v>5497</v>
      </c>
      <c r="K251" s="120"/>
      <c r="L251" s="120"/>
      <c r="M251" s="59">
        <v>5497</v>
      </c>
      <c r="N251" s="59">
        <f>O251-M251</f>
        <v>-5497</v>
      </c>
      <c r="O251" s="59"/>
      <c r="P251" s="59"/>
      <c r="Q251" s="59"/>
      <c r="R251" s="59"/>
      <c r="S251" s="59"/>
      <c r="T251" s="59"/>
      <c r="U251" s="59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</row>
    <row r="252" spans="1:63" s="26" customFormat="1" ht="67.5" customHeight="1">
      <c r="A252" s="86" t="s">
        <v>309</v>
      </c>
      <c r="B252" s="68" t="s">
        <v>136</v>
      </c>
      <c r="C252" s="68" t="s">
        <v>136</v>
      </c>
      <c r="D252" s="69" t="s">
        <v>289</v>
      </c>
      <c r="E252" s="68"/>
      <c r="F252" s="59"/>
      <c r="G252" s="59"/>
      <c r="H252" s="75"/>
      <c r="I252" s="75"/>
      <c r="J252" s="75"/>
      <c r="K252" s="120"/>
      <c r="L252" s="120"/>
      <c r="M252" s="59"/>
      <c r="N252" s="59">
        <f aca="true" t="shared" si="125" ref="N252:U252">N253+N255</f>
        <v>3728</v>
      </c>
      <c r="O252" s="59">
        <f t="shared" si="125"/>
        <v>3728</v>
      </c>
      <c r="P252" s="59">
        <f t="shared" si="125"/>
        <v>0</v>
      </c>
      <c r="Q252" s="59">
        <f t="shared" si="125"/>
        <v>3583</v>
      </c>
      <c r="R252" s="59">
        <f t="shared" si="125"/>
        <v>0</v>
      </c>
      <c r="S252" s="59">
        <f t="shared" si="125"/>
        <v>0</v>
      </c>
      <c r="T252" s="59">
        <f t="shared" si="125"/>
        <v>3728</v>
      </c>
      <c r="U252" s="59">
        <f t="shared" si="125"/>
        <v>3583</v>
      </c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</row>
    <row r="253" spans="1:63" s="26" customFormat="1" ht="107.25" customHeight="1">
      <c r="A253" s="86" t="s">
        <v>315</v>
      </c>
      <c r="B253" s="68" t="s">
        <v>136</v>
      </c>
      <c r="C253" s="68" t="s">
        <v>136</v>
      </c>
      <c r="D253" s="69" t="s">
        <v>291</v>
      </c>
      <c r="E253" s="68"/>
      <c r="F253" s="59"/>
      <c r="G253" s="59"/>
      <c r="H253" s="75"/>
      <c r="I253" s="75"/>
      <c r="J253" s="75"/>
      <c r="K253" s="120"/>
      <c r="L253" s="120"/>
      <c r="M253" s="59"/>
      <c r="N253" s="59">
        <f aca="true" t="shared" si="126" ref="N253:U253">N254</f>
        <v>1383</v>
      </c>
      <c r="O253" s="59">
        <f t="shared" si="126"/>
        <v>1383</v>
      </c>
      <c r="P253" s="59">
        <f t="shared" si="126"/>
        <v>0</v>
      </c>
      <c r="Q253" s="59">
        <f t="shared" si="126"/>
        <v>1383</v>
      </c>
      <c r="R253" s="59">
        <f t="shared" si="126"/>
        <v>0</v>
      </c>
      <c r="S253" s="59">
        <f t="shared" si="126"/>
        <v>0</v>
      </c>
      <c r="T253" s="59">
        <f t="shared" si="126"/>
        <v>1383</v>
      </c>
      <c r="U253" s="59">
        <f t="shared" si="126"/>
        <v>1383</v>
      </c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</row>
    <row r="254" spans="1:63" s="26" customFormat="1" ht="99" customHeight="1">
      <c r="A254" s="67" t="s">
        <v>305</v>
      </c>
      <c r="B254" s="68" t="s">
        <v>136</v>
      </c>
      <c r="C254" s="68" t="s">
        <v>136</v>
      </c>
      <c r="D254" s="69" t="s">
        <v>291</v>
      </c>
      <c r="E254" s="68" t="s">
        <v>241</v>
      </c>
      <c r="F254" s="59"/>
      <c r="G254" s="59"/>
      <c r="H254" s="75"/>
      <c r="I254" s="75"/>
      <c r="J254" s="75"/>
      <c r="K254" s="120"/>
      <c r="L254" s="120"/>
      <c r="M254" s="59"/>
      <c r="N254" s="59">
        <f>O254-M254</f>
        <v>1383</v>
      </c>
      <c r="O254" s="59">
        <v>1383</v>
      </c>
      <c r="P254" s="59"/>
      <c r="Q254" s="59">
        <v>1383</v>
      </c>
      <c r="R254" s="98"/>
      <c r="S254" s="98"/>
      <c r="T254" s="59">
        <f>O254+R254</f>
        <v>1383</v>
      </c>
      <c r="U254" s="59">
        <f>Q254+S254</f>
        <v>1383</v>
      </c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</row>
    <row r="255" spans="1:63" s="26" customFormat="1" ht="84" customHeight="1">
      <c r="A255" s="86" t="s">
        <v>310</v>
      </c>
      <c r="B255" s="68" t="s">
        <v>136</v>
      </c>
      <c r="C255" s="68" t="s">
        <v>136</v>
      </c>
      <c r="D255" s="69" t="s">
        <v>290</v>
      </c>
      <c r="E255" s="68"/>
      <c r="F255" s="59"/>
      <c r="G255" s="59"/>
      <c r="H255" s="75"/>
      <c r="I255" s="75"/>
      <c r="J255" s="75"/>
      <c r="K255" s="120"/>
      <c r="L255" s="120"/>
      <c r="M255" s="59"/>
      <c r="N255" s="59">
        <f aca="true" t="shared" si="127" ref="N255:U255">N256</f>
        <v>2345</v>
      </c>
      <c r="O255" s="59">
        <f t="shared" si="127"/>
        <v>2345</v>
      </c>
      <c r="P255" s="59">
        <f t="shared" si="127"/>
        <v>0</v>
      </c>
      <c r="Q255" s="59">
        <f t="shared" si="127"/>
        <v>2200</v>
      </c>
      <c r="R255" s="59">
        <f t="shared" si="127"/>
        <v>0</v>
      </c>
      <c r="S255" s="59">
        <f t="shared" si="127"/>
        <v>0</v>
      </c>
      <c r="T255" s="59">
        <f t="shared" si="127"/>
        <v>2345</v>
      </c>
      <c r="U255" s="59">
        <f t="shared" si="127"/>
        <v>2200</v>
      </c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</row>
    <row r="256" spans="1:63" s="26" customFormat="1" ht="59.25" customHeight="1">
      <c r="A256" s="67" t="s">
        <v>137</v>
      </c>
      <c r="B256" s="68" t="s">
        <v>136</v>
      </c>
      <c r="C256" s="68" t="s">
        <v>136</v>
      </c>
      <c r="D256" s="69" t="s">
        <v>290</v>
      </c>
      <c r="E256" s="68" t="s">
        <v>138</v>
      </c>
      <c r="F256" s="59"/>
      <c r="G256" s="59"/>
      <c r="H256" s="75"/>
      <c r="I256" s="75"/>
      <c r="J256" s="75"/>
      <c r="K256" s="120"/>
      <c r="L256" s="120"/>
      <c r="M256" s="59"/>
      <c r="N256" s="59">
        <f>O256-M256</f>
        <v>2345</v>
      </c>
      <c r="O256" s="59">
        <v>2345</v>
      </c>
      <c r="P256" s="59"/>
      <c r="Q256" s="59">
        <v>2200</v>
      </c>
      <c r="R256" s="98"/>
      <c r="S256" s="98"/>
      <c r="T256" s="59">
        <f>O256+R256</f>
        <v>2345</v>
      </c>
      <c r="U256" s="59">
        <f>Q256+S256</f>
        <v>2200</v>
      </c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</row>
    <row r="257" spans="1:63" s="26" customFormat="1" ht="45.75" customHeight="1">
      <c r="A257" s="67" t="s">
        <v>317</v>
      </c>
      <c r="B257" s="68" t="s">
        <v>136</v>
      </c>
      <c r="C257" s="68" t="s">
        <v>136</v>
      </c>
      <c r="D257" s="69" t="s">
        <v>302</v>
      </c>
      <c r="E257" s="68"/>
      <c r="F257" s="59"/>
      <c r="G257" s="59"/>
      <c r="H257" s="75"/>
      <c r="I257" s="75"/>
      <c r="J257" s="75"/>
      <c r="K257" s="120"/>
      <c r="L257" s="120"/>
      <c r="M257" s="59"/>
      <c r="N257" s="59">
        <f aca="true" t="shared" si="128" ref="N257:U257">N258</f>
        <v>4080</v>
      </c>
      <c r="O257" s="59">
        <f t="shared" si="128"/>
        <v>4080</v>
      </c>
      <c r="P257" s="59">
        <f t="shared" si="128"/>
        <v>0</v>
      </c>
      <c r="Q257" s="59">
        <f t="shared" si="128"/>
        <v>4080</v>
      </c>
      <c r="R257" s="59">
        <f t="shared" si="128"/>
        <v>0</v>
      </c>
      <c r="S257" s="59">
        <f t="shared" si="128"/>
        <v>0</v>
      </c>
      <c r="T257" s="59">
        <f t="shared" si="128"/>
        <v>4080</v>
      </c>
      <c r="U257" s="59">
        <f t="shared" si="128"/>
        <v>4080</v>
      </c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</row>
    <row r="258" spans="1:63" s="26" customFormat="1" ht="59.25" customHeight="1">
      <c r="A258" s="67" t="s">
        <v>137</v>
      </c>
      <c r="B258" s="68" t="s">
        <v>136</v>
      </c>
      <c r="C258" s="68" t="s">
        <v>136</v>
      </c>
      <c r="D258" s="69" t="s">
        <v>302</v>
      </c>
      <c r="E258" s="68" t="s">
        <v>138</v>
      </c>
      <c r="F258" s="59"/>
      <c r="G258" s="59"/>
      <c r="H258" s="75"/>
      <c r="I258" s="75"/>
      <c r="J258" s="75"/>
      <c r="K258" s="120"/>
      <c r="L258" s="120"/>
      <c r="M258" s="59"/>
      <c r="N258" s="59">
        <f>O258-M258</f>
        <v>4080</v>
      </c>
      <c r="O258" s="59">
        <v>4080</v>
      </c>
      <c r="P258" s="59"/>
      <c r="Q258" s="59">
        <v>4080</v>
      </c>
      <c r="R258" s="98"/>
      <c r="S258" s="98"/>
      <c r="T258" s="59">
        <f>O258+R258</f>
        <v>4080</v>
      </c>
      <c r="U258" s="59">
        <f>Q258+S258</f>
        <v>4080</v>
      </c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</row>
    <row r="259" spans="1:63" s="26" customFormat="1" ht="39.75" customHeight="1">
      <c r="A259" s="67" t="s">
        <v>311</v>
      </c>
      <c r="B259" s="68" t="s">
        <v>136</v>
      </c>
      <c r="C259" s="68" t="s">
        <v>136</v>
      </c>
      <c r="D259" s="69" t="s">
        <v>287</v>
      </c>
      <c r="E259" s="68"/>
      <c r="F259" s="59"/>
      <c r="G259" s="59"/>
      <c r="H259" s="75"/>
      <c r="I259" s="75"/>
      <c r="J259" s="75"/>
      <c r="K259" s="120"/>
      <c r="L259" s="120"/>
      <c r="M259" s="59"/>
      <c r="N259" s="59">
        <f aca="true" t="shared" si="129" ref="N259:U260">N260</f>
        <v>489</v>
      </c>
      <c r="O259" s="59">
        <f t="shared" si="129"/>
        <v>489</v>
      </c>
      <c r="P259" s="59">
        <f t="shared" si="129"/>
        <v>0</v>
      </c>
      <c r="Q259" s="59">
        <f t="shared" si="129"/>
        <v>0</v>
      </c>
      <c r="R259" s="59">
        <f t="shared" si="129"/>
        <v>0</v>
      </c>
      <c r="S259" s="59">
        <f t="shared" si="129"/>
        <v>0</v>
      </c>
      <c r="T259" s="59">
        <f t="shared" si="129"/>
        <v>489</v>
      </c>
      <c r="U259" s="59">
        <f t="shared" si="129"/>
        <v>0</v>
      </c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</row>
    <row r="260" spans="1:63" s="26" customFormat="1" ht="58.5" customHeight="1">
      <c r="A260" s="67" t="s">
        <v>312</v>
      </c>
      <c r="B260" s="68" t="s">
        <v>136</v>
      </c>
      <c r="C260" s="68" t="s">
        <v>136</v>
      </c>
      <c r="D260" s="69" t="s">
        <v>288</v>
      </c>
      <c r="E260" s="68"/>
      <c r="F260" s="59"/>
      <c r="G260" s="59"/>
      <c r="H260" s="75"/>
      <c r="I260" s="75"/>
      <c r="J260" s="75"/>
      <c r="K260" s="120"/>
      <c r="L260" s="120"/>
      <c r="M260" s="59"/>
      <c r="N260" s="59">
        <f t="shared" si="129"/>
        <v>489</v>
      </c>
      <c r="O260" s="59">
        <f t="shared" si="129"/>
        <v>489</v>
      </c>
      <c r="P260" s="59">
        <f t="shared" si="129"/>
        <v>0</v>
      </c>
      <c r="Q260" s="59">
        <f t="shared" si="129"/>
        <v>0</v>
      </c>
      <c r="R260" s="59">
        <f t="shared" si="129"/>
        <v>0</v>
      </c>
      <c r="S260" s="59">
        <f t="shared" si="129"/>
        <v>0</v>
      </c>
      <c r="T260" s="59">
        <f t="shared" si="129"/>
        <v>489</v>
      </c>
      <c r="U260" s="59">
        <f t="shared" si="129"/>
        <v>0</v>
      </c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</row>
    <row r="261" spans="1:63" s="26" customFormat="1" ht="63.75" customHeight="1">
      <c r="A261" s="67" t="s">
        <v>137</v>
      </c>
      <c r="B261" s="68" t="s">
        <v>136</v>
      </c>
      <c r="C261" s="68" t="s">
        <v>136</v>
      </c>
      <c r="D261" s="69" t="s">
        <v>288</v>
      </c>
      <c r="E261" s="68" t="s">
        <v>138</v>
      </c>
      <c r="F261" s="59"/>
      <c r="G261" s="59"/>
      <c r="H261" s="75"/>
      <c r="I261" s="75"/>
      <c r="J261" s="75"/>
      <c r="K261" s="120"/>
      <c r="L261" s="120"/>
      <c r="M261" s="59"/>
      <c r="N261" s="59">
        <f>O261-M261</f>
        <v>489</v>
      </c>
      <c r="O261" s="59">
        <v>489</v>
      </c>
      <c r="P261" s="59"/>
      <c r="Q261" s="59"/>
      <c r="R261" s="98"/>
      <c r="S261" s="98"/>
      <c r="T261" s="59">
        <f>O261+R261</f>
        <v>489</v>
      </c>
      <c r="U261" s="59">
        <f>Q261+S261</f>
        <v>0</v>
      </c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</row>
    <row r="262" spans="1:63" s="26" customFormat="1" ht="16.5">
      <c r="A262" s="67"/>
      <c r="B262" s="68"/>
      <c r="C262" s="68"/>
      <c r="D262" s="69"/>
      <c r="E262" s="68"/>
      <c r="F262" s="121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98"/>
      <c r="S262" s="98"/>
      <c r="T262" s="98"/>
      <c r="U262" s="98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</row>
    <row r="263" spans="1:63" s="26" customFormat="1" ht="32.25" customHeight="1">
      <c r="A263" s="53" t="s">
        <v>76</v>
      </c>
      <c r="B263" s="54" t="s">
        <v>136</v>
      </c>
      <c r="C263" s="54" t="s">
        <v>146</v>
      </c>
      <c r="D263" s="122"/>
      <c r="E263" s="103"/>
      <c r="F263" s="56">
        <f>F266+F264+F271</f>
        <v>218976</v>
      </c>
      <c r="G263" s="56">
        <f aca="true" t="shared" si="130" ref="G263:O263">G266+G264+G271+G273</f>
        <v>15357</v>
      </c>
      <c r="H263" s="56">
        <f t="shared" si="130"/>
        <v>234333</v>
      </c>
      <c r="I263" s="56">
        <f t="shared" si="130"/>
        <v>0</v>
      </c>
      <c r="J263" s="56">
        <f t="shared" si="130"/>
        <v>123187</v>
      </c>
      <c r="K263" s="56">
        <f t="shared" si="130"/>
        <v>213196</v>
      </c>
      <c r="L263" s="56">
        <f t="shared" si="130"/>
        <v>232384</v>
      </c>
      <c r="M263" s="56">
        <f t="shared" si="130"/>
        <v>355571</v>
      </c>
      <c r="N263" s="56">
        <f t="shared" si="130"/>
        <v>-208894</v>
      </c>
      <c r="O263" s="56">
        <f t="shared" si="130"/>
        <v>146677</v>
      </c>
      <c r="P263" s="56">
        <f aca="true" t="shared" si="131" ref="P263:U263">P266+P264+P271+P273</f>
        <v>63764</v>
      </c>
      <c r="Q263" s="56">
        <f t="shared" si="131"/>
        <v>110283</v>
      </c>
      <c r="R263" s="56">
        <f t="shared" si="131"/>
        <v>-6490</v>
      </c>
      <c r="S263" s="56">
        <f t="shared" si="131"/>
        <v>-6490</v>
      </c>
      <c r="T263" s="56">
        <f t="shared" si="131"/>
        <v>140187</v>
      </c>
      <c r="U263" s="56">
        <f t="shared" si="131"/>
        <v>103793</v>
      </c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</row>
    <row r="264" spans="1:63" s="26" customFormat="1" ht="45.75" customHeight="1">
      <c r="A264" s="67" t="s">
        <v>77</v>
      </c>
      <c r="B264" s="68" t="s">
        <v>136</v>
      </c>
      <c r="C264" s="68" t="s">
        <v>146</v>
      </c>
      <c r="D264" s="69" t="s">
        <v>78</v>
      </c>
      <c r="E264" s="68"/>
      <c r="F264" s="70">
        <f aca="true" t="shared" si="132" ref="F264:U264">F265</f>
        <v>85147</v>
      </c>
      <c r="G264" s="70">
        <f t="shared" si="132"/>
        <v>4235</v>
      </c>
      <c r="H264" s="70">
        <f t="shared" si="132"/>
        <v>89382</v>
      </c>
      <c r="I264" s="70">
        <f t="shared" si="132"/>
        <v>0</v>
      </c>
      <c r="J264" s="70">
        <f t="shared" si="132"/>
        <v>95852</v>
      </c>
      <c r="K264" s="70">
        <f t="shared" si="132"/>
        <v>-4021</v>
      </c>
      <c r="L264" s="70">
        <f t="shared" si="132"/>
        <v>-4305</v>
      </c>
      <c r="M264" s="70">
        <f t="shared" si="132"/>
        <v>91547</v>
      </c>
      <c r="N264" s="70">
        <f t="shared" si="132"/>
        <v>-45028</v>
      </c>
      <c r="O264" s="70">
        <f t="shared" si="132"/>
        <v>46519</v>
      </c>
      <c r="P264" s="70">
        <f t="shared" si="132"/>
        <v>0</v>
      </c>
      <c r="Q264" s="70">
        <f t="shared" si="132"/>
        <v>46519</v>
      </c>
      <c r="R264" s="70">
        <f t="shared" si="132"/>
        <v>-6490</v>
      </c>
      <c r="S264" s="70">
        <f t="shared" si="132"/>
        <v>-6490</v>
      </c>
      <c r="T264" s="70">
        <f t="shared" si="132"/>
        <v>40029</v>
      </c>
      <c r="U264" s="70">
        <f t="shared" si="132"/>
        <v>40029</v>
      </c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</row>
    <row r="265" spans="1:63" s="26" customFormat="1" ht="45.75" customHeight="1">
      <c r="A265" s="67" t="s">
        <v>129</v>
      </c>
      <c r="B265" s="68" t="s">
        <v>136</v>
      </c>
      <c r="C265" s="68" t="s">
        <v>146</v>
      </c>
      <c r="D265" s="69" t="s">
        <v>78</v>
      </c>
      <c r="E265" s="68" t="s">
        <v>130</v>
      </c>
      <c r="F265" s="59">
        <v>85147</v>
      </c>
      <c r="G265" s="59">
        <f>H265-F265</f>
        <v>4235</v>
      </c>
      <c r="H265" s="75">
        <f>20302+69227-147</f>
        <v>89382</v>
      </c>
      <c r="I265" s="75"/>
      <c r="J265" s="75">
        <f>21827+74186-161</f>
        <v>95852</v>
      </c>
      <c r="K265" s="75">
        <v>-4021</v>
      </c>
      <c r="L265" s="75">
        <v>-4305</v>
      </c>
      <c r="M265" s="59">
        <v>91547</v>
      </c>
      <c r="N265" s="59">
        <f>O265-M265</f>
        <v>-45028</v>
      </c>
      <c r="O265" s="59">
        <f>6490+40029</f>
        <v>46519</v>
      </c>
      <c r="P265" s="59"/>
      <c r="Q265" s="59">
        <f>6490+40029</f>
        <v>46519</v>
      </c>
      <c r="R265" s="59">
        <v>-6490</v>
      </c>
      <c r="S265" s="59">
        <v>-6490</v>
      </c>
      <c r="T265" s="59">
        <f>O265+R265</f>
        <v>40029</v>
      </c>
      <c r="U265" s="59">
        <f>Q265+S265</f>
        <v>40029</v>
      </c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</row>
    <row r="266" spans="1:63" s="10" customFormat="1" ht="20.25" customHeight="1">
      <c r="A266" s="67" t="s">
        <v>247</v>
      </c>
      <c r="B266" s="68" t="s">
        <v>136</v>
      </c>
      <c r="C266" s="68" t="s">
        <v>146</v>
      </c>
      <c r="D266" s="69" t="s">
        <v>167</v>
      </c>
      <c r="E266" s="68"/>
      <c r="F266" s="59">
        <f aca="true" t="shared" si="133" ref="F266:O266">F267+F269</f>
        <v>122551</v>
      </c>
      <c r="G266" s="59">
        <f t="shared" si="133"/>
        <v>0</v>
      </c>
      <c r="H266" s="59">
        <f t="shared" si="133"/>
        <v>122551</v>
      </c>
      <c r="I266" s="59">
        <f t="shared" si="133"/>
        <v>0</v>
      </c>
      <c r="J266" s="59">
        <f t="shared" si="133"/>
        <v>2732</v>
      </c>
      <c r="K266" s="59">
        <f t="shared" si="133"/>
        <v>-2551</v>
      </c>
      <c r="L266" s="59">
        <f t="shared" si="133"/>
        <v>-2732</v>
      </c>
      <c r="M266" s="59">
        <f t="shared" si="133"/>
        <v>0</v>
      </c>
      <c r="N266" s="59">
        <f t="shared" si="133"/>
        <v>55792</v>
      </c>
      <c r="O266" s="59">
        <f t="shared" si="133"/>
        <v>55792</v>
      </c>
      <c r="P266" s="59">
        <f aca="true" t="shared" si="134" ref="P266:U266">P267+P269</f>
        <v>55792</v>
      </c>
      <c r="Q266" s="59">
        <f t="shared" si="134"/>
        <v>55792</v>
      </c>
      <c r="R266" s="59">
        <f t="shared" si="134"/>
        <v>0</v>
      </c>
      <c r="S266" s="59">
        <f t="shared" si="134"/>
        <v>0</v>
      </c>
      <c r="T266" s="59">
        <f t="shared" si="134"/>
        <v>55792</v>
      </c>
      <c r="U266" s="59">
        <f t="shared" si="134"/>
        <v>55792</v>
      </c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</row>
    <row r="267" spans="1:63" s="14" customFormat="1" ht="84.75" customHeight="1" hidden="1">
      <c r="A267" s="67" t="s">
        <v>221</v>
      </c>
      <c r="B267" s="68" t="s">
        <v>136</v>
      </c>
      <c r="C267" s="68" t="s">
        <v>146</v>
      </c>
      <c r="D267" s="69" t="s">
        <v>180</v>
      </c>
      <c r="E267" s="68"/>
      <c r="F267" s="59">
        <f aca="true" t="shared" si="135" ref="F267:U267">F268</f>
        <v>2551</v>
      </c>
      <c r="G267" s="59">
        <f t="shared" si="135"/>
        <v>0</v>
      </c>
      <c r="H267" s="59">
        <f t="shared" si="135"/>
        <v>2551</v>
      </c>
      <c r="I267" s="59">
        <f t="shared" si="135"/>
        <v>0</v>
      </c>
      <c r="J267" s="59">
        <f t="shared" si="135"/>
        <v>2732</v>
      </c>
      <c r="K267" s="59">
        <f t="shared" si="135"/>
        <v>-2551</v>
      </c>
      <c r="L267" s="59">
        <f t="shared" si="135"/>
        <v>-2732</v>
      </c>
      <c r="M267" s="59">
        <f t="shared" si="135"/>
        <v>0</v>
      </c>
      <c r="N267" s="59">
        <f t="shared" si="135"/>
        <v>0</v>
      </c>
      <c r="O267" s="59">
        <f t="shared" si="135"/>
        <v>0</v>
      </c>
      <c r="P267" s="59">
        <f t="shared" si="135"/>
        <v>0</v>
      </c>
      <c r="Q267" s="59">
        <f t="shared" si="135"/>
        <v>0</v>
      </c>
      <c r="R267" s="59">
        <f t="shared" si="135"/>
        <v>0</v>
      </c>
      <c r="S267" s="59">
        <f t="shared" si="135"/>
        <v>0</v>
      </c>
      <c r="T267" s="59">
        <f t="shared" si="135"/>
        <v>0</v>
      </c>
      <c r="U267" s="59">
        <f t="shared" si="135"/>
        <v>0</v>
      </c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</row>
    <row r="268" spans="1:63" s="14" customFormat="1" ht="102.75" customHeight="1" hidden="1">
      <c r="A268" s="67" t="s">
        <v>322</v>
      </c>
      <c r="B268" s="68" t="s">
        <v>136</v>
      </c>
      <c r="C268" s="68" t="s">
        <v>146</v>
      </c>
      <c r="D268" s="69" t="s">
        <v>180</v>
      </c>
      <c r="E268" s="68" t="s">
        <v>143</v>
      </c>
      <c r="F268" s="59">
        <v>2551</v>
      </c>
      <c r="G268" s="59">
        <f>H268-F268</f>
        <v>0</v>
      </c>
      <c r="H268" s="75">
        <v>2551</v>
      </c>
      <c r="I268" s="75"/>
      <c r="J268" s="75">
        <v>2732</v>
      </c>
      <c r="K268" s="75">
        <v>-2551</v>
      </c>
      <c r="L268" s="75">
        <v>-2732</v>
      </c>
      <c r="M268" s="59"/>
      <c r="N268" s="60"/>
      <c r="O268" s="59"/>
      <c r="P268" s="59"/>
      <c r="Q268" s="59"/>
      <c r="R268" s="59"/>
      <c r="S268" s="59"/>
      <c r="T268" s="59"/>
      <c r="U268" s="59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</row>
    <row r="269" spans="1:63" s="16" customFormat="1" ht="81" customHeight="1">
      <c r="A269" s="67" t="s">
        <v>285</v>
      </c>
      <c r="B269" s="68" t="s">
        <v>136</v>
      </c>
      <c r="C269" s="68" t="s">
        <v>146</v>
      </c>
      <c r="D269" s="69" t="s">
        <v>181</v>
      </c>
      <c r="E269" s="68"/>
      <c r="F269" s="59">
        <f aca="true" t="shared" si="136" ref="F269:U269">F270</f>
        <v>120000</v>
      </c>
      <c r="G269" s="59">
        <f t="shared" si="136"/>
        <v>0</v>
      </c>
      <c r="H269" s="59">
        <f t="shared" si="136"/>
        <v>120000</v>
      </c>
      <c r="I269" s="59">
        <f t="shared" si="136"/>
        <v>0</v>
      </c>
      <c r="J269" s="59">
        <f t="shared" si="136"/>
        <v>0</v>
      </c>
      <c r="K269" s="59">
        <f t="shared" si="136"/>
        <v>0</v>
      </c>
      <c r="L269" s="59">
        <f t="shared" si="136"/>
        <v>0</v>
      </c>
      <c r="M269" s="59">
        <f t="shared" si="136"/>
        <v>0</v>
      </c>
      <c r="N269" s="59">
        <f t="shared" si="136"/>
        <v>55792</v>
      </c>
      <c r="O269" s="59">
        <f t="shared" si="136"/>
        <v>55792</v>
      </c>
      <c r="P269" s="59">
        <f t="shared" si="136"/>
        <v>55792</v>
      </c>
      <c r="Q269" s="59">
        <f t="shared" si="136"/>
        <v>55792</v>
      </c>
      <c r="R269" s="59">
        <f t="shared" si="136"/>
        <v>0</v>
      </c>
      <c r="S269" s="59">
        <f t="shared" si="136"/>
        <v>0</v>
      </c>
      <c r="T269" s="59">
        <f t="shared" si="136"/>
        <v>55792</v>
      </c>
      <c r="U269" s="59">
        <f t="shared" si="136"/>
        <v>55792</v>
      </c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</row>
    <row r="270" spans="1:63" s="16" customFormat="1" ht="104.25" customHeight="1">
      <c r="A270" s="67" t="s">
        <v>257</v>
      </c>
      <c r="B270" s="68" t="s">
        <v>136</v>
      </c>
      <c r="C270" s="68" t="s">
        <v>146</v>
      </c>
      <c r="D270" s="69" t="s">
        <v>181</v>
      </c>
      <c r="E270" s="68" t="s">
        <v>143</v>
      </c>
      <c r="F270" s="59">
        <v>120000</v>
      </c>
      <c r="G270" s="59">
        <f>H270-F270</f>
        <v>0</v>
      </c>
      <c r="H270" s="75">
        <v>120000</v>
      </c>
      <c r="I270" s="75"/>
      <c r="J270" s="75"/>
      <c r="K270" s="76"/>
      <c r="L270" s="76"/>
      <c r="M270" s="59"/>
      <c r="N270" s="59">
        <f>O270-M270</f>
        <v>55792</v>
      </c>
      <c r="O270" s="59">
        <v>55792</v>
      </c>
      <c r="P270" s="59">
        <v>55792</v>
      </c>
      <c r="Q270" s="59">
        <v>55792</v>
      </c>
      <c r="R270" s="61"/>
      <c r="S270" s="61"/>
      <c r="T270" s="59">
        <f>O270+R270</f>
        <v>55792</v>
      </c>
      <c r="U270" s="59">
        <f>Q270+S270</f>
        <v>55792</v>
      </c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</row>
    <row r="271" spans="1:63" s="26" customFormat="1" ht="115.5" customHeight="1">
      <c r="A271" s="67" t="s">
        <v>79</v>
      </c>
      <c r="B271" s="68" t="s">
        <v>136</v>
      </c>
      <c r="C271" s="68" t="s">
        <v>146</v>
      </c>
      <c r="D271" s="69" t="s">
        <v>80</v>
      </c>
      <c r="E271" s="68"/>
      <c r="F271" s="70">
        <f aca="true" t="shared" si="137" ref="F271:U271">F272</f>
        <v>11278</v>
      </c>
      <c r="G271" s="70">
        <f t="shared" si="137"/>
        <v>1062</v>
      </c>
      <c r="H271" s="70">
        <f t="shared" si="137"/>
        <v>12340</v>
      </c>
      <c r="I271" s="70">
        <f t="shared" si="137"/>
        <v>0</v>
      </c>
      <c r="J271" s="70">
        <f t="shared" si="137"/>
        <v>13287</v>
      </c>
      <c r="K271" s="70">
        <f t="shared" si="137"/>
        <v>-646</v>
      </c>
      <c r="L271" s="70">
        <f t="shared" si="137"/>
        <v>-692</v>
      </c>
      <c r="M271" s="70">
        <f t="shared" si="137"/>
        <v>12595</v>
      </c>
      <c r="N271" s="70">
        <f t="shared" si="137"/>
        <v>-4623</v>
      </c>
      <c r="O271" s="70">
        <f t="shared" si="137"/>
        <v>7972</v>
      </c>
      <c r="P271" s="70">
        <f t="shared" si="137"/>
        <v>7972</v>
      </c>
      <c r="Q271" s="70">
        <f t="shared" si="137"/>
        <v>7972</v>
      </c>
      <c r="R271" s="70">
        <f t="shared" si="137"/>
        <v>0</v>
      </c>
      <c r="S271" s="70">
        <f t="shared" si="137"/>
        <v>0</v>
      </c>
      <c r="T271" s="70">
        <f t="shared" si="137"/>
        <v>7972</v>
      </c>
      <c r="U271" s="70">
        <f t="shared" si="137"/>
        <v>7972</v>
      </c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</row>
    <row r="272" spans="1:63" s="26" customFormat="1" ht="33.75" customHeight="1">
      <c r="A272" s="67" t="s">
        <v>129</v>
      </c>
      <c r="B272" s="68" t="s">
        <v>136</v>
      </c>
      <c r="C272" s="68" t="s">
        <v>146</v>
      </c>
      <c r="D272" s="69" t="s">
        <v>80</v>
      </c>
      <c r="E272" s="68" t="s">
        <v>130</v>
      </c>
      <c r="F272" s="59">
        <v>11278</v>
      </c>
      <c r="G272" s="59">
        <f>H272-F272</f>
        <v>1062</v>
      </c>
      <c r="H272" s="75">
        <f>12383-43</f>
        <v>12340</v>
      </c>
      <c r="I272" s="75"/>
      <c r="J272" s="75">
        <f>13341-54</f>
        <v>13287</v>
      </c>
      <c r="K272" s="75">
        <v>-646</v>
      </c>
      <c r="L272" s="75">
        <v>-692</v>
      </c>
      <c r="M272" s="59">
        <v>12595</v>
      </c>
      <c r="N272" s="59">
        <f>O272-M272</f>
        <v>-4623</v>
      </c>
      <c r="O272" s="59">
        <v>7972</v>
      </c>
      <c r="P272" s="59">
        <v>7972</v>
      </c>
      <c r="Q272" s="59">
        <v>7972</v>
      </c>
      <c r="R272" s="98"/>
      <c r="S272" s="98"/>
      <c r="T272" s="59">
        <f>O272+R272</f>
        <v>7972</v>
      </c>
      <c r="U272" s="59">
        <f>Q272+S272</f>
        <v>7972</v>
      </c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</row>
    <row r="273" spans="1:63" s="26" customFormat="1" ht="21" customHeight="1">
      <c r="A273" s="67" t="s">
        <v>121</v>
      </c>
      <c r="B273" s="68" t="s">
        <v>136</v>
      </c>
      <c r="C273" s="68" t="s">
        <v>146</v>
      </c>
      <c r="D273" s="69" t="s">
        <v>122</v>
      </c>
      <c r="E273" s="68"/>
      <c r="F273" s="59"/>
      <c r="G273" s="59">
        <f>G274</f>
        <v>10060</v>
      </c>
      <c r="H273" s="59">
        <f>H274</f>
        <v>10060</v>
      </c>
      <c r="I273" s="59">
        <f>I274</f>
        <v>0</v>
      </c>
      <c r="J273" s="59">
        <f>J274</f>
        <v>11316</v>
      </c>
      <c r="K273" s="59">
        <f>K274+K275</f>
        <v>220414</v>
      </c>
      <c r="L273" s="59">
        <f>L274+L275</f>
        <v>240113</v>
      </c>
      <c r="M273" s="59">
        <f>M274+M275</f>
        <v>251429</v>
      </c>
      <c r="N273" s="59">
        <f>N274+N275+N277</f>
        <v>-215035</v>
      </c>
      <c r="O273" s="59">
        <f>O274+O275+O277</f>
        <v>36394</v>
      </c>
      <c r="P273" s="59">
        <f aca="true" t="shared" si="138" ref="P273:U273">P274+P275+P277</f>
        <v>0</v>
      </c>
      <c r="Q273" s="59">
        <f t="shared" si="138"/>
        <v>0</v>
      </c>
      <c r="R273" s="59">
        <f t="shared" si="138"/>
        <v>0</v>
      </c>
      <c r="S273" s="59">
        <f t="shared" si="138"/>
        <v>0</v>
      </c>
      <c r="T273" s="59">
        <f t="shared" si="138"/>
        <v>36394</v>
      </c>
      <c r="U273" s="59">
        <f t="shared" si="138"/>
        <v>0</v>
      </c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</row>
    <row r="274" spans="1:63" s="26" customFormat="1" ht="51.75" customHeight="1" hidden="1">
      <c r="A274" s="67" t="s">
        <v>137</v>
      </c>
      <c r="B274" s="68" t="s">
        <v>136</v>
      </c>
      <c r="C274" s="68" t="s">
        <v>146</v>
      </c>
      <c r="D274" s="69" t="s">
        <v>122</v>
      </c>
      <c r="E274" s="68" t="s">
        <v>138</v>
      </c>
      <c r="F274" s="59"/>
      <c r="G274" s="59">
        <f>H274-F274</f>
        <v>10060</v>
      </c>
      <c r="H274" s="75">
        <f>6512+769+2779</f>
        <v>10060</v>
      </c>
      <c r="I274" s="75"/>
      <c r="J274" s="75">
        <f>7146+822+3348</f>
        <v>11316</v>
      </c>
      <c r="K274" s="75">
        <f>220414-2551</f>
        <v>217863</v>
      </c>
      <c r="L274" s="75">
        <f>240113-2732</f>
        <v>237381</v>
      </c>
      <c r="M274" s="59">
        <v>248697</v>
      </c>
      <c r="N274" s="59">
        <f>O274-M274</f>
        <v>-248697</v>
      </c>
      <c r="O274" s="59"/>
      <c r="P274" s="59"/>
      <c r="Q274" s="59"/>
      <c r="R274" s="59"/>
      <c r="S274" s="59"/>
      <c r="T274" s="59"/>
      <c r="U274" s="59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</row>
    <row r="275" spans="1:63" s="26" customFormat="1" ht="66" customHeight="1" hidden="1">
      <c r="A275" s="67" t="s">
        <v>221</v>
      </c>
      <c r="B275" s="68" t="s">
        <v>136</v>
      </c>
      <c r="C275" s="68" t="s">
        <v>146</v>
      </c>
      <c r="D275" s="69" t="s">
        <v>249</v>
      </c>
      <c r="E275" s="68"/>
      <c r="F275" s="59"/>
      <c r="G275" s="59"/>
      <c r="H275" s="75"/>
      <c r="I275" s="75"/>
      <c r="J275" s="75"/>
      <c r="K275" s="75">
        <f aca="true" t="shared" si="139" ref="K275:U275">K276</f>
        <v>2551</v>
      </c>
      <c r="L275" s="75">
        <f t="shared" si="139"/>
        <v>2732</v>
      </c>
      <c r="M275" s="59">
        <f t="shared" si="139"/>
        <v>2732</v>
      </c>
      <c r="N275" s="59">
        <f t="shared" si="139"/>
        <v>-2732</v>
      </c>
      <c r="O275" s="59">
        <f t="shared" si="139"/>
        <v>0</v>
      </c>
      <c r="P275" s="59">
        <f t="shared" si="139"/>
        <v>0</v>
      </c>
      <c r="Q275" s="59">
        <f t="shared" si="139"/>
        <v>0</v>
      </c>
      <c r="R275" s="59">
        <f t="shared" si="139"/>
        <v>0</v>
      </c>
      <c r="S275" s="59">
        <f t="shared" si="139"/>
        <v>0</v>
      </c>
      <c r="T275" s="59">
        <f t="shared" si="139"/>
        <v>0</v>
      </c>
      <c r="U275" s="59">
        <f t="shared" si="139"/>
        <v>0</v>
      </c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</row>
    <row r="276" spans="1:63" s="26" customFormat="1" ht="84" customHeight="1" hidden="1">
      <c r="A276" s="67" t="s">
        <v>257</v>
      </c>
      <c r="B276" s="68" t="s">
        <v>136</v>
      </c>
      <c r="C276" s="68" t="s">
        <v>146</v>
      </c>
      <c r="D276" s="69" t="s">
        <v>249</v>
      </c>
      <c r="E276" s="68" t="s">
        <v>143</v>
      </c>
      <c r="F276" s="59"/>
      <c r="G276" s="59"/>
      <c r="H276" s="75"/>
      <c r="I276" s="75"/>
      <c r="J276" s="75"/>
      <c r="K276" s="75">
        <v>2551</v>
      </c>
      <c r="L276" s="75">
        <v>2732</v>
      </c>
      <c r="M276" s="59">
        <v>2732</v>
      </c>
      <c r="N276" s="59">
        <f>O276-M276</f>
        <v>-2732</v>
      </c>
      <c r="O276" s="59"/>
      <c r="P276" s="59"/>
      <c r="Q276" s="59"/>
      <c r="R276" s="59"/>
      <c r="S276" s="59"/>
      <c r="T276" s="59"/>
      <c r="U276" s="59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</row>
    <row r="277" spans="1:63" s="26" customFormat="1" ht="74.25" customHeight="1">
      <c r="A277" s="67" t="s">
        <v>307</v>
      </c>
      <c r="B277" s="68" t="s">
        <v>136</v>
      </c>
      <c r="C277" s="68" t="s">
        <v>146</v>
      </c>
      <c r="D277" s="69" t="s">
        <v>286</v>
      </c>
      <c r="E277" s="68"/>
      <c r="F277" s="59"/>
      <c r="G277" s="59"/>
      <c r="H277" s="75"/>
      <c r="I277" s="75"/>
      <c r="J277" s="75"/>
      <c r="K277" s="75"/>
      <c r="L277" s="75"/>
      <c r="M277" s="59"/>
      <c r="N277" s="59">
        <f>N278</f>
        <v>36394</v>
      </c>
      <c r="O277" s="59">
        <f>O278</f>
        <v>36394</v>
      </c>
      <c r="P277" s="59">
        <f aca="true" t="shared" si="140" ref="P277:U277">P278</f>
        <v>0</v>
      </c>
      <c r="Q277" s="59">
        <f t="shared" si="140"/>
        <v>0</v>
      </c>
      <c r="R277" s="59">
        <f t="shared" si="140"/>
        <v>0</v>
      </c>
      <c r="S277" s="59">
        <f t="shared" si="140"/>
        <v>0</v>
      </c>
      <c r="T277" s="59">
        <f t="shared" si="140"/>
        <v>36394</v>
      </c>
      <c r="U277" s="59">
        <f t="shared" si="140"/>
        <v>0</v>
      </c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</row>
    <row r="278" spans="1:63" s="26" customFormat="1" ht="77.25" customHeight="1">
      <c r="A278" s="67" t="s">
        <v>137</v>
      </c>
      <c r="B278" s="68" t="s">
        <v>136</v>
      </c>
      <c r="C278" s="68" t="s">
        <v>146</v>
      </c>
      <c r="D278" s="69" t="s">
        <v>286</v>
      </c>
      <c r="E278" s="68" t="s">
        <v>138</v>
      </c>
      <c r="F278" s="59"/>
      <c r="G278" s="59"/>
      <c r="H278" s="75"/>
      <c r="I278" s="75"/>
      <c r="J278" s="75"/>
      <c r="K278" s="75"/>
      <c r="L278" s="75"/>
      <c r="M278" s="59"/>
      <c r="N278" s="59">
        <f>O278-M278</f>
        <v>36394</v>
      </c>
      <c r="O278" s="59">
        <v>36394</v>
      </c>
      <c r="P278" s="59"/>
      <c r="Q278" s="59"/>
      <c r="R278" s="98"/>
      <c r="S278" s="98"/>
      <c r="T278" s="59">
        <f>O278+R278</f>
        <v>36394</v>
      </c>
      <c r="U278" s="59">
        <f>Q278+S278</f>
        <v>0</v>
      </c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</row>
    <row r="279" spans="1:21" ht="20.25" customHeight="1">
      <c r="A279" s="83"/>
      <c r="B279" s="84"/>
      <c r="C279" s="84"/>
      <c r="D279" s="85"/>
      <c r="E279" s="84"/>
      <c r="F279" s="45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</row>
    <row r="280" spans="1:63" s="8" customFormat="1" ht="92.25" customHeight="1">
      <c r="A280" s="48" t="s">
        <v>174</v>
      </c>
      <c r="B280" s="49" t="s">
        <v>81</v>
      </c>
      <c r="C280" s="49"/>
      <c r="D280" s="50"/>
      <c r="E280" s="49"/>
      <c r="F280" s="51">
        <f aca="true" t="shared" si="141" ref="F280:O280">F282+F304+F308</f>
        <v>224517</v>
      </c>
      <c r="G280" s="51">
        <f t="shared" si="141"/>
        <v>14721</v>
      </c>
      <c r="H280" s="51">
        <f t="shared" si="141"/>
        <v>239238</v>
      </c>
      <c r="I280" s="51">
        <f t="shared" si="141"/>
        <v>0</v>
      </c>
      <c r="J280" s="51">
        <f t="shared" si="141"/>
        <v>257511</v>
      </c>
      <c r="K280" s="51">
        <f t="shared" si="141"/>
        <v>0</v>
      </c>
      <c r="L280" s="51">
        <f t="shared" si="141"/>
        <v>0</v>
      </c>
      <c r="M280" s="51">
        <f t="shared" si="141"/>
        <v>257511</v>
      </c>
      <c r="N280" s="51">
        <f t="shared" si="141"/>
        <v>-103618</v>
      </c>
      <c r="O280" s="51">
        <f t="shared" si="141"/>
        <v>153893</v>
      </c>
      <c r="P280" s="51">
        <f aca="true" t="shared" si="142" ref="P280:U280">P282+P304+P308</f>
        <v>0</v>
      </c>
      <c r="Q280" s="51">
        <f t="shared" si="142"/>
        <v>150699</v>
      </c>
      <c r="R280" s="51">
        <f t="shared" si="142"/>
        <v>0</v>
      </c>
      <c r="S280" s="51">
        <f t="shared" si="142"/>
        <v>0</v>
      </c>
      <c r="T280" s="51">
        <f t="shared" si="142"/>
        <v>153893</v>
      </c>
      <c r="U280" s="51">
        <f t="shared" si="142"/>
        <v>150699</v>
      </c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</row>
    <row r="281" spans="1:63" s="8" customFormat="1" ht="20.25">
      <c r="A281" s="48"/>
      <c r="B281" s="49"/>
      <c r="C281" s="49"/>
      <c r="D281" s="50"/>
      <c r="E281" s="49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</row>
    <row r="282" spans="1:63" s="8" customFormat="1" ht="20.25">
      <c r="A282" s="53" t="s">
        <v>82</v>
      </c>
      <c r="B282" s="54" t="s">
        <v>153</v>
      </c>
      <c r="C282" s="54" t="s">
        <v>127</v>
      </c>
      <c r="D282" s="65"/>
      <c r="E282" s="54"/>
      <c r="F282" s="66">
        <f aca="true" t="shared" si="143" ref="F282:O282">F283+F285+F287+F289+F291+F293+F301</f>
        <v>218881</v>
      </c>
      <c r="G282" s="66">
        <f t="shared" si="143"/>
        <v>14525</v>
      </c>
      <c r="H282" s="66">
        <f t="shared" si="143"/>
        <v>233406</v>
      </c>
      <c r="I282" s="66">
        <f t="shared" si="143"/>
        <v>0</v>
      </c>
      <c r="J282" s="66">
        <f t="shared" si="143"/>
        <v>251244</v>
      </c>
      <c r="K282" s="66">
        <f t="shared" si="143"/>
        <v>0</v>
      </c>
      <c r="L282" s="66">
        <f t="shared" si="143"/>
        <v>0</v>
      </c>
      <c r="M282" s="66">
        <f t="shared" si="143"/>
        <v>251244</v>
      </c>
      <c r="N282" s="66">
        <f t="shared" si="143"/>
        <v>-101838</v>
      </c>
      <c r="O282" s="66">
        <f t="shared" si="143"/>
        <v>149406</v>
      </c>
      <c r="P282" s="66">
        <f aca="true" t="shared" si="144" ref="P282:U282">P283+P285+P287+P289+P291+P293+P301</f>
        <v>0</v>
      </c>
      <c r="Q282" s="66">
        <f t="shared" si="144"/>
        <v>146212</v>
      </c>
      <c r="R282" s="66">
        <f t="shared" si="144"/>
        <v>0</v>
      </c>
      <c r="S282" s="66">
        <f t="shared" si="144"/>
        <v>0</v>
      </c>
      <c r="T282" s="66">
        <f t="shared" si="144"/>
        <v>149406</v>
      </c>
      <c r="U282" s="66">
        <f t="shared" si="144"/>
        <v>146212</v>
      </c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</row>
    <row r="283" spans="1:63" s="8" customFormat="1" ht="64.5" customHeight="1">
      <c r="A283" s="67" t="s">
        <v>150</v>
      </c>
      <c r="B283" s="68" t="s">
        <v>153</v>
      </c>
      <c r="C283" s="68" t="s">
        <v>127</v>
      </c>
      <c r="D283" s="69" t="s">
        <v>38</v>
      </c>
      <c r="E283" s="68"/>
      <c r="F283" s="70">
        <f aca="true" t="shared" si="145" ref="F283:U283">F284</f>
        <v>19370</v>
      </c>
      <c r="G283" s="70">
        <f t="shared" si="145"/>
        <v>-16627</v>
      </c>
      <c r="H283" s="70">
        <f t="shared" si="145"/>
        <v>2743</v>
      </c>
      <c r="I283" s="70">
        <f t="shared" si="145"/>
        <v>0</v>
      </c>
      <c r="J283" s="70">
        <f t="shared" si="145"/>
        <v>2984</v>
      </c>
      <c r="K283" s="70">
        <f t="shared" si="145"/>
        <v>0</v>
      </c>
      <c r="L283" s="70">
        <f t="shared" si="145"/>
        <v>0</v>
      </c>
      <c r="M283" s="70">
        <f t="shared" si="145"/>
        <v>2984</v>
      </c>
      <c r="N283" s="70">
        <f t="shared" si="145"/>
        <v>210</v>
      </c>
      <c r="O283" s="70">
        <f t="shared" si="145"/>
        <v>3194</v>
      </c>
      <c r="P283" s="70">
        <f t="shared" si="145"/>
        <v>0</v>
      </c>
      <c r="Q283" s="70">
        <f t="shared" si="145"/>
        <v>0</v>
      </c>
      <c r="R283" s="70">
        <f t="shared" si="145"/>
        <v>0</v>
      </c>
      <c r="S283" s="70">
        <f t="shared" si="145"/>
        <v>0</v>
      </c>
      <c r="T283" s="70">
        <f t="shared" si="145"/>
        <v>3194</v>
      </c>
      <c r="U283" s="70">
        <f t="shared" si="145"/>
        <v>0</v>
      </c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</row>
    <row r="284" spans="1:63" s="8" customFormat="1" ht="101.25" customHeight="1">
      <c r="A284" s="67" t="s">
        <v>256</v>
      </c>
      <c r="B284" s="68" t="s">
        <v>153</v>
      </c>
      <c r="C284" s="68" t="s">
        <v>127</v>
      </c>
      <c r="D284" s="69" t="s">
        <v>38</v>
      </c>
      <c r="E284" s="68" t="s">
        <v>151</v>
      </c>
      <c r="F284" s="59">
        <v>19370</v>
      </c>
      <c r="G284" s="59">
        <f>H284-F284</f>
        <v>-16627</v>
      </c>
      <c r="H284" s="75">
        <v>2743</v>
      </c>
      <c r="I284" s="75"/>
      <c r="J284" s="75">
        <v>2984</v>
      </c>
      <c r="K284" s="123"/>
      <c r="L284" s="123"/>
      <c r="M284" s="59">
        <v>2984</v>
      </c>
      <c r="N284" s="59">
        <f>O284-M284</f>
        <v>210</v>
      </c>
      <c r="O284" s="59">
        <v>3194</v>
      </c>
      <c r="P284" s="59"/>
      <c r="Q284" s="59"/>
      <c r="R284" s="117"/>
      <c r="S284" s="117"/>
      <c r="T284" s="59">
        <f>O284+R284</f>
        <v>3194</v>
      </c>
      <c r="U284" s="59">
        <f>Q284+S284</f>
        <v>0</v>
      </c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</row>
    <row r="285" spans="1:63" s="8" customFormat="1" ht="36.75" customHeight="1">
      <c r="A285" s="67" t="s">
        <v>83</v>
      </c>
      <c r="B285" s="68" t="s">
        <v>153</v>
      </c>
      <c r="C285" s="68" t="s">
        <v>127</v>
      </c>
      <c r="D285" s="69" t="s">
        <v>84</v>
      </c>
      <c r="E285" s="68"/>
      <c r="F285" s="70">
        <f aca="true" t="shared" si="146" ref="F285:U285">F286</f>
        <v>15131</v>
      </c>
      <c r="G285" s="70">
        <f t="shared" si="146"/>
        <v>4562</v>
      </c>
      <c r="H285" s="70">
        <f t="shared" si="146"/>
        <v>19693</v>
      </c>
      <c r="I285" s="70">
        <f t="shared" si="146"/>
        <v>0</v>
      </c>
      <c r="J285" s="70">
        <f t="shared" si="146"/>
        <v>22702</v>
      </c>
      <c r="K285" s="70">
        <f t="shared" si="146"/>
        <v>0</v>
      </c>
      <c r="L285" s="70">
        <f t="shared" si="146"/>
        <v>0</v>
      </c>
      <c r="M285" s="70">
        <f t="shared" si="146"/>
        <v>22702</v>
      </c>
      <c r="N285" s="70">
        <f t="shared" si="146"/>
        <v>-15193</v>
      </c>
      <c r="O285" s="70">
        <f t="shared" si="146"/>
        <v>7509</v>
      </c>
      <c r="P285" s="70">
        <f t="shared" si="146"/>
        <v>0</v>
      </c>
      <c r="Q285" s="70">
        <f t="shared" si="146"/>
        <v>7509</v>
      </c>
      <c r="R285" s="70">
        <f t="shared" si="146"/>
        <v>0</v>
      </c>
      <c r="S285" s="70">
        <f t="shared" si="146"/>
        <v>0</v>
      </c>
      <c r="T285" s="70">
        <f t="shared" si="146"/>
        <v>7509</v>
      </c>
      <c r="U285" s="70">
        <f t="shared" si="146"/>
        <v>7509</v>
      </c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</row>
    <row r="286" spans="1:63" s="8" customFormat="1" ht="37.5" customHeight="1">
      <c r="A286" s="67" t="s">
        <v>129</v>
      </c>
      <c r="B286" s="68" t="s">
        <v>153</v>
      </c>
      <c r="C286" s="68" t="s">
        <v>127</v>
      </c>
      <c r="D286" s="69" t="s">
        <v>84</v>
      </c>
      <c r="E286" s="68" t="s">
        <v>130</v>
      </c>
      <c r="F286" s="59">
        <v>15131</v>
      </c>
      <c r="G286" s="59">
        <f>H286-F286</f>
        <v>4562</v>
      </c>
      <c r="H286" s="75">
        <v>19693</v>
      </c>
      <c r="I286" s="75"/>
      <c r="J286" s="75">
        <v>22702</v>
      </c>
      <c r="K286" s="123"/>
      <c r="L286" s="123"/>
      <c r="M286" s="59">
        <v>22702</v>
      </c>
      <c r="N286" s="59">
        <f>O286-M286</f>
        <v>-15193</v>
      </c>
      <c r="O286" s="59">
        <v>7509</v>
      </c>
      <c r="P286" s="59"/>
      <c r="Q286" s="59">
        <v>7509</v>
      </c>
      <c r="R286" s="117"/>
      <c r="S286" s="117"/>
      <c r="T286" s="59">
        <f>O286+R286</f>
        <v>7509</v>
      </c>
      <c r="U286" s="59">
        <f>Q286+S286</f>
        <v>7509</v>
      </c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</row>
    <row r="287" spans="1:63" s="8" customFormat="1" ht="18.75" customHeight="1">
      <c r="A287" s="67" t="s">
        <v>85</v>
      </c>
      <c r="B287" s="68" t="s">
        <v>153</v>
      </c>
      <c r="C287" s="68" t="s">
        <v>127</v>
      </c>
      <c r="D287" s="69" t="s">
        <v>86</v>
      </c>
      <c r="E287" s="68"/>
      <c r="F287" s="70">
        <f aca="true" t="shared" si="147" ref="F287:U287">F288</f>
        <v>16772</v>
      </c>
      <c r="G287" s="70">
        <f t="shared" si="147"/>
        <v>4187</v>
      </c>
      <c r="H287" s="70">
        <f t="shared" si="147"/>
        <v>20959</v>
      </c>
      <c r="I287" s="70">
        <f t="shared" si="147"/>
        <v>0</v>
      </c>
      <c r="J287" s="70">
        <f t="shared" si="147"/>
        <v>22756</v>
      </c>
      <c r="K287" s="70">
        <f t="shared" si="147"/>
        <v>0</v>
      </c>
      <c r="L287" s="70">
        <f t="shared" si="147"/>
        <v>0</v>
      </c>
      <c r="M287" s="70">
        <f t="shared" si="147"/>
        <v>22756</v>
      </c>
      <c r="N287" s="70">
        <f t="shared" si="147"/>
        <v>-7836</v>
      </c>
      <c r="O287" s="70">
        <f t="shared" si="147"/>
        <v>14920</v>
      </c>
      <c r="P287" s="70">
        <f t="shared" si="147"/>
        <v>0</v>
      </c>
      <c r="Q287" s="70">
        <f t="shared" si="147"/>
        <v>14920</v>
      </c>
      <c r="R287" s="70">
        <f t="shared" si="147"/>
        <v>0</v>
      </c>
      <c r="S287" s="70">
        <f t="shared" si="147"/>
        <v>0</v>
      </c>
      <c r="T287" s="70">
        <f t="shared" si="147"/>
        <v>14920</v>
      </c>
      <c r="U287" s="70">
        <f t="shared" si="147"/>
        <v>14920</v>
      </c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</row>
    <row r="288" spans="1:63" s="8" customFormat="1" ht="51.75" customHeight="1">
      <c r="A288" s="67" t="s">
        <v>129</v>
      </c>
      <c r="B288" s="68" t="s">
        <v>153</v>
      </c>
      <c r="C288" s="68" t="s">
        <v>127</v>
      </c>
      <c r="D288" s="69" t="s">
        <v>86</v>
      </c>
      <c r="E288" s="68" t="s">
        <v>130</v>
      </c>
      <c r="F288" s="59">
        <v>16772</v>
      </c>
      <c r="G288" s="59">
        <f>H288-F288</f>
        <v>4187</v>
      </c>
      <c r="H288" s="75">
        <v>20959</v>
      </c>
      <c r="I288" s="75"/>
      <c r="J288" s="75">
        <v>22756</v>
      </c>
      <c r="K288" s="123"/>
      <c r="L288" s="123"/>
      <c r="M288" s="59">
        <v>22756</v>
      </c>
      <c r="N288" s="59">
        <f>O288-M288</f>
        <v>-7836</v>
      </c>
      <c r="O288" s="59">
        <v>14920</v>
      </c>
      <c r="P288" s="59"/>
      <c r="Q288" s="59">
        <v>14920</v>
      </c>
      <c r="R288" s="117"/>
      <c r="S288" s="117"/>
      <c r="T288" s="59">
        <f>O288+R288</f>
        <v>14920</v>
      </c>
      <c r="U288" s="59">
        <f>Q288+S288</f>
        <v>14920</v>
      </c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</row>
    <row r="289" spans="1:63" s="8" customFormat="1" ht="20.25" customHeight="1">
      <c r="A289" s="67" t="s">
        <v>87</v>
      </c>
      <c r="B289" s="68" t="s">
        <v>153</v>
      </c>
      <c r="C289" s="68" t="s">
        <v>127</v>
      </c>
      <c r="D289" s="69" t="s">
        <v>88</v>
      </c>
      <c r="E289" s="68"/>
      <c r="F289" s="70">
        <f aca="true" t="shared" si="148" ref="F289:U289">F290</f>
        <v>69934</v>
      </c>
      <c r="G289" s="70">
        <f t="shared" si="148"/>
        <v>3968</v>
      </c>
      <c r="H289" s="70">
        <f t="shared" si="148"/>
        <v>73902</v>
      </c>
      <c r="I289" s="70">
        <f t="shared" si="148"/>
        <v>0</v>
      </c>
      <c r="J289" s="70">
        <f t="shared" si="148"/>
        <v>80038</v>
      </c>
      <c r="K289" s="70">
        <f t="shared" si="148"/>
        <v>0</v>
      </c>
      <c r="L289" s="70">
        <f t="shared" si="148"/>
        <v>0</v>
      </c>
      <c r="M289" s="70">
        <f t="shared" si="148"/>
        <v>80038</v>
      </c>
      <c r="N289" s="70">
        <f t="shared" si="148"/>
        <v>-23596</v>
      </c>
      <c r="O289" s="70">
        <f t="shared" si="148"/>
        <v>56442</v>
      </c>
      <c r="P289" s="70">
        <f t="shared" si="148"/>
        <v>0</v>
      </c>
      <c r="Q289" s="70">
        <f t="shared" si="148"/>
        <v>56442</v>
      </c>
      <c r="R289" s="70">
        <f t="shared" si="148"/>
        <v>0</v>
      </c>
      <c r="S289" s="70">
        <f t="shared" si="148"/>
        <v>0</v>
      </c>
      <c r="T289" s="70">
        <f t="shared" si="148"/>
        <v>56442</v>
      </c>
      <c r="U289" s="70">
        <f t="shared" si="148"/>
        <v>56442</v>
      </c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</row>
    <row r="290" spans="1:63" s="8" customFormat="1" ht="48.75" customHeight="1">
      <c r="A290" s="67" t="s">
        <v>129</v>
      </c>
      <c r="B290" s="68" t="s">
        <v>153</v>
      </c>
      <c r="C290" s="68" t="s">
        <v>127</v>
      </c>
      <c r="D290" s="69" t="s">
        <v>88</v>
      </c>
      <c r="E290" s="68" t="s">
        <v>130</v>
      </c>
      <c r="F290" s="59">
        <v>69934</v>
      </c>
      <c r="G290" s="59">
        <f>H290-F290</f>
        <v>3968</v>
      </c>
      <c r="H290" s="75">
        <v>73902</v>
      </c>
      <c r="I290" s="75"/>
      <c r="J290" s="75">
        <v>80038</v>
      </c>
      <c r="K290" s="123"/>
      <c r="L290" s="123"/>
      <c r="M290" s="59">
        <v>80038</v>
      </c>
      <c r="N290" s="59">
        <f>O290-M290</f>
        <v>-23596</v>
      </c>
      <c r="O290" s="59">
        <v>56442</v>
      </c>
      <c r="P290" s="59"/>
      <c r="Q290" s="59">
        <v>56442</v>
      </c>
      <c r="R290" s="117"/>
      <c r="S290" s="117"/>
      <c r="T290" s="59">
        <f>O290+R290</f>
        <v>56442</v>
      </c>
      <c r="U290" s="59">
        <f>Q290+S290</f>
        <v>56442</v>
      </c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</row>
    <row r="291" spans="1:63" s="8" customFormat="1" ht="48.75" customHeight="1">
      <c r="A291" s="67" t="s">
        <v>89</v>
      </c>
      <c r="B291" s="68" t="s">
        <v>153</v>
      </c>
      <c r="C291" s="68" t="s">
        <v>127</v>
      </c>
      <c r="D291" s="69" t="s">
        <v>90</v>
      </c>
      <c r="E291" s="68"/>
      <c r="F291" s="70">
        <f aca="true" t="shared" si="149" ref="F291:U291">F292</f>
        <v>75174</v>
      </c>
      <c r="G291" s="70">
        <f t="shared" si="149"/>
        <v>16533</v>
      </c>
      <c r="H291" s="70">
        <f t="shared" si="149"/>
        <v>91707</v>
      </c>
      <c r="I291" s="70">
        <f t="shared" si="149"/>
        <v>0</v>
      </c>
      <c r="J291" s="70">
        <f t="shared" si="149"/>
        <v>97311</v>
      </c>
      <c r="K291" s="70">
        <f t="shared" si="149"/>
        <v>0</v>
      </c>
      <c r="L291" s="70">
        <f t="shared" si="149"/>
        <v>0</v>
      </c>
      <c r="M291" s="70">
        <f t="shared" si="149"/>
        <v>97311</v>
      </c>
      <c r="N291" s="70">
        <f t="shared" si="149"/>
        <v>-33046</v>
      </c>
      <c r="O291" s="70">
        <f t="shared" si="149"/>
        <v>64265</v>
      </c>
      <c r="P291" s="70">
        <f t="shared" si="149"/>
        <v>0</v>
      </c>
      <c r="Q291" s="70">
        <f t="shared" si="149"/>
        <v>64265</v>
      </c>
      <c r="R291" s="70">
        <f t="shared" si="149"/>
        <v>0</v>
      </c>
      <c r="S291" s="70">
        <f t="shared" si="149"/>
        <v>0</v>
      </c>
      <c r="T291" s="70">
        <f t="shared" si="149"/>
        <v>64265</v>
      </c>
      <c r="U291" s="70">
        <f t="shared" si="149"/>
        <v>64265</v>
      </c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</row>
    <row r="292" spans="1:63" s="8" customFormat="1" ht="35.25" customHeight="1">
      <c r="A292" s="67" t="s">
        <v>129</v>
      </c>
      <c r="B292" s="68" t="s">
        <v>153</v>
      </c>
      <c r="C292" s="68" t="s">
        <v>127</v>
      </c>
      <c r="D292" s="69" t="s">
        <v>90</v>
      </c>
      <c r="E292" s="68" t="s">
        <v>130</v>
      </c>
      <c r="F292" s="59">
        <v>75174</v>
      </c>
      <c r="G292" s="59">
        <f>H292-F292</f>
        <v>16533</v>
      </c>
      <c r="H292" s="75">
        <v>91707</v>
      </c>
      <c r="I292" s="75"/>
      <c r="J292" s="75">
        <v>97311</v>
      </c>
      <c r="K292" s="123"/>
      <c r="L292" s="123"/>
      <c r="M292" s="59">
        <v>97311</v>
      </c>
      <c r="N292" s="59">
        <f>O292-M292</f>
        <v>-33046</v>
      </c>
      <c r="O292" s="59">
        <v>64265</v>
      </c>
      <c r="P292" s="59"/>
      <c r="Q292" s="59">
        <v>64265</v>
      </c>
      <c r="R292" s="117"/>
      <c r="S292" s="117"/>
      <c r="T292" s="59">
        <f>O292+R292</f>
        <v>64265</v>
      </c>
      <c r="U292" s="59">
        <f>Q292+S292</f>
        <v>64265</v>
      </c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</row>
    <row r="293" spans="1:63" s="8" customFormat="1" ht="33.75">
      <c r="A293" s="67" t="s">
        <v>91</v>
      </c>
      <c r="B293" s="68" t="s">
        <v>153</v>
      </c>
      <c r="C293" s="68" t="s">
        <v>127</v>
      </c>
      <c r="D293" s="69" t="s">
        <v>92</v>
      </c>
      <c r="E293" s="68"/>
      <c r="F293" s="70">
        <f aca="true" t="shared" si="150" ref="F293:O293">F294+F295+F297+F299</f>
        <v>22500</v>
      </c>
      <c r="G293" s="70">
        <f t="shared" si="150"/>
        <v>-5735</v>
      </c>
      <c r="H293" s="70">
        <f t="shared" si="150"/>
        <v>16765</v>
      </c>
      <c r="I293" s="70">
        <f t="shared" si="150"/>
        <v>0</v>
      </c>
      <c r="J293" s="70">
        <f t="shared" si="150"/>
        <v>17951</v>
      </c>
      <c r="K293" s="70">
        <f t="shared" si="150"/>
        <v>0</v>
      </c>
      <c r="L293" s="70">
        <f t="shared" si="150"/>
        <v>0</v>
      </c>
      <c r="M293" s="70">
        <f t="shared" si="150"/>
        <v>17951</v>
      </c>
      <c r="N293" s="70">
        <f t="shared" si="150"/>
        <v>-14875</v>
      </c>
      <c r="O293" s="70">
        <f t="shared" si="150"/>
        <v>3076</v>
      </c>
      <c r="P293" s="70">
        <f aca="true" t="shared" si="151" ref="P293:U293">P294+P295+P297+P299</f>
        <v>0</v>
      </c>
      <c r="Q293" s="70">
        <f t="shared" si="151"/>
        <v>3076</v>
      </c>
      <c r="R293" s="70">
        <f t="shared" si="151"/>
        <v>0</v>
      </c>
      <c r="S293" s="70">
        <f t="shared" si="151"/>
        <v>0</v>
      </c>
      <c r="T293" s="70">
        <f t="shared" si="151"/>
        <v>3076</v>
      </c>
      <c r="U293" s="70">
        <f t="shared" si="151"/>
        <v>3076</v>
      </c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</row>
    <row r="294" spans="1:63" s="8" customFormat="1" ht="66.75">
      <c r="A294" s="67" t="s">
        <v>137</v>
      </c>
      <c r="B294" s="68" t="s">
        <v>153</v>
      </c>
      <c r="C294" s="68" t="s">
        <v>127</v>
      </c>
      <c r="D294" s="69" t="s">
        <v>92</v>
      </c>
      <c r="E294" s="68" t="s">
        <v>138</v>
      </c>
      <c r="F294" s="59">
        <v>20205</v>
      </c>
      <c r="G294" s="59">
        <f>H294-F294</f>
        <v>-3774</v>
      </c>
      <c r="H294" s="75">
        <v>16431</v>
      </c>
      <c r="I294" s="75"/>
      <c r="J294" s="75">
        <v>17593</v>
      </c>
      <c r="K294" s="123"/>
      <c r="L294" s="123"/>
      <c r="M294" s="59">
        <v>17593</v>
      </c>
      <c r="N294" s="59">
        <f>O294-M294</f>
        <v>-14517</v>
      </c>
      <c r="O294" s="59">
        <v>3076</v>
      </c>
      <c r="P294" s="59"/>
      <c r="Q294" s="59">
        <v>3076</v>
      </c>
      <c r="R294" s="117"/>
      <c r="S294" s="117"/>
      <c r="T294" s="59">
        <f>O294+R294</f>
        <v>3076</v>
      </c>
      <c r="U294" s="59">
        <f>Q294+S294</f>
        <v>3076</v>
      </c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</row>
    <row r="295" spans="1:63" s="8" customFormat="1" ht="107.25" customHeight="1" hidden="1">
      <c r="A295" s="67" t="s">
        <v>222</v>
      </c>
      <c r="B295" s="68" t="s">
        <v>153</v>
      </c>
      <c r="C295" s="68" t="s">
        <v>127</v>
      </c>
      <c r="D295" s="69" t="s">
        <v>182</v>
      </c>
      <c r="E295" s="68"/>
      <c r="F295" s="70">
        <f aca="true" t="shared" si="152" ref="F295:Q295">F296</f>
        <v>390</v>
      </c>
      <c r="G295" s="70">
        <f t="shared" si="152"/>
        <v>-390</v>
      </c>
      <c r="H295" s="70">
        <f t="shared" si="152"/>
        <v>0</v>
      </c>
      <c r="I295" s="70">
        <f t="shared" si="152"/>
        <v>0</v>
      </c>
      <c r="J295" s="70">
        <f t="shared" si="152"/>
        <v>0</v>
      </c>
      <c r="K295" s="70">
        <f t="shared" si="152"/>
        <v>0</v>
      </c>
      <c r="L295" s="70">
        <f t="shared" si="152"/>
        <v>0</v>
      </c>
      <c r="M295" s="70">
        <f t="shared" si="152"/>
        <v>0</v>
      </c>
      <c r="N295" s="70">
        <f t="shared" si="152"/>
        <v>0</v>
      </c>
      <c r="O295" s="70">
        <f t="shared" si="152"/>
        <v>0</v>
      </c>
      <c r="P295" s="70">
        <f t="shared" si="152"/>
        <v>0</v>
      </c>
      <c r="Q295" s="70">
        <f t="shared" si="152"/>
        <v>0</v>
      </c>
      <c r="R295" s="117"/>
      <c r="S295" s="117"/>
      <c r="T295" s="117"/>
      <c r="U295" s="11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</row>
    <row r="296" spans="1:63" s="8" customFormat="1" ht="105" customHeight="1" hidden="1">
      <c r="A296" s="67" t="s">
        <v>322</v>
      </c>
      <c r="B296" s="68" t="s">
        <v>153</v>
      </c>
      <c r="C296" s="68" t="s">
        <v>127</v>
      </c>
      <c r="D296" s="69" t="s">
        <v>182</v>
      </c>
      <c r="E296" s="68" t="s">
        <v>143</v>
      </c>
      <c r="F296" s="59">
        <v>390</v>
      </c>
      <c r="G296" s="59">
        <f>H296-F296</f>
        <v>-390</v>
      </c>
      <c r="H296" s="123"/>
      <c r="I296" s="123"/>
      <c r="J296" s="123"/>
      <c r="K296" s="123"/>
      <c r="L296" s="123"/>
      <c r="M296" s="59"/>
      <c r="N296" s="60"/>
      <c r="O296" s="59"/>
      <c r="P296" s="59"/>
      <c r="Q296" s="59"/>
      <c r="R296" s="117"/>
      <c r="S296" s="117"/>
      <c r="T296" s="117"/>
      <c r="U296" s="11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</row>
    <row r="297" spans="1:63" s="8" customFormat="1" ht="54" customHeight="1" hidden="1">
      <c r="A297" s="67" t="s">
        <v>179</v>
      </c>
      <c r="B297" s="68" t="s">
        <v>153</v>
      </c>
      <c r="C297" s="68" t="s">
        <v>127</v>
      </c>
      <c r="D297" s="69" t="s">
        <v>183</v>
      </c>
      <c r="E297" s="68"/>
      <c r="F297" s="70">
        <f aca="true" t="shared" si="153" ref="F297:Q297">F298</f>
        <v>1580</v>
      </c>
      <c r="G297" s="70">
        <f t="shared" si="153"/>
        <v>-1580</v>
      </c>
      <c r="H297" s="70">
        <f t="shared" si="153"/>
        <v>0</v>
      </c>
      <c r="I297" s="70">
        <f t="shared" si="153"/>
        <v>0</v>
      </c>
      <c r="J297" s="70">
        <f t="shared" si="153"/>
        <v>0</v>
      </c>
      <c r="K297" s="70">
        <f t="shared" si="153"/>
        <v>0</v>
      </c>
      <c r="L297" s="70">
        <f t="shared" si="153"/>
        <v>0</v>
      </c>
      <c r="M297" s="70">
        <f t="shared" si="153"/>
        <v>0</v>
      </c>
      <c r="N297" s="70">
        <f t="shared" si="153"/>
        <v>0</v>
      </c>
      <c r="O297" s="70">
        <f t="shared" si="153"/>
        <v>0</v>
      </c>
      <c r="P297" s="70">
        <f t="shared" si="153"/>
        <v>0</v>
      </c>
      <c r="Q297" s="70">
        <f t="shared" si="153"/>
        <v>0</v>
      </c>
      <c r="R297" s="117"/>
      <c r="S297" s="117"/>
      <c r="T297" s="117"/>
      <c r="U297" s="11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</row>
    <row r="298" spans="1:63" s="8" customFormat="1" ht="107.25" customHeight="1" hidden="1">
      <c r="A298" s="67" t="s">
        <v>322</v>
      </c>
      <c r="B298" s="68" t="s">
        <v>153</v>
      </c>
      <c r="C298" s="68" t="s">
        <v>127</v>
      </c>
      <c r="D298" s="69" t="s">
        <v>183</v>
      </c>
      <c r="E298" s="68" t="s">
        <v>143</v>
      </c>
      <c r="F298" s="59">
        <v>1580</v>
      </c>
      <c r="G298" s="59">
        <f>H298-F298</f>
        <v>-1580</v>
      </c>
      <c r="H298" s="123"/>
      <c r="I298" s="123"/>
      <c r="J298" s="123"/>
      <c r="K298" s="123"/>
      <c r="L298" s="123"/>
      <c r="M298" s="59"/>
      <c r="N298" s="60"/>
      <c r="O298" s="59"/>
      <c r="P298" s="59"/>
      <c r="Q298" s="59"/>
      <c r="R298" s="117"/>
      <c r="S298" s="117"/>
      <c r="T298" s="117"/>
      <c r="U298" s="11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</row>
    <row r="299" spans="1:63" s="8" customFormat="1" ht="54.75" customHeight="1" hidden="1">
      <c r="A299" s="67" t="s">
        <v>223</v>
      </c>
      <c r="B299" s="68" t="s">
        <v>153</v>
      </c>
      <c r="C299" s="68" t="s">
        <v>127</v>
      </c>
      <c r="D299" s="69" t="s">
        <v>184</v>
      </c>
      <c r="E299" s="68"/>
      <c r="F299" s="70">
        <f aca="true" t="shared" si="154" ref="F299:Q299">F300</f>
        <v>325</v>
      </c>
      <c r="G299" s="70">
        <f t="shared" si="154"/>
        <v>9</v>
      </c>
      <c r="H299" s="70">
        <f t="shared" si="154"/>
        <v>334</v>
      </c>
      <c r="I299" s="70">
        <f t="shared" si="154"/>
        <v>0</v>
      </c>
      <c r="J299" s="70">
        <f t="shared" si="154"/>
        <v>358</v>
      </c>
      <c r="K299" s="70">
        <f t="shared" si="154"/>
        <v>0</v>
      </c>
      <c r="L299" s="70">
        <f t="shared" si="154"/>
        <v>0</v>
      </c>
      <c r="M299" s="70">
        <f t="shared" si="154"/>
        <v>358</v>
      </c>
      <c r="N299" s="70">
        <f t="shared" si="154"/>
        <v>-358</v>
      </c>
      <c r="O299" s="70">
        <f t="shared" si="154"/>
        <v>0</v>
      </c>
      <c r="P299" s="70">
        <f t="shared" si="154"/>
        <v>0</v>
      </c>
      <c r="Q299" s="70">
        <f t="shared" si="154"/>
        <v>0</v>
      </c>
      <c r="R299" s="117"/>
      <c r="S299" s="117"/>
      <c r="T299" s="117"/>
      <c r="U299" s="11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</row>
    <row r="300" spans="1:63" s="8" customFormat="1" ht="86.25" customHeight="1" hidden="1">
      <c r="A300" s="67" t="s">
        <v>257</v>
      </c>
      <c r="B300" s="68" t="s">
        <v>153</v>
      </c>
      <c r="C300" s="68" t="s">
        <v>127</v>
      </c>
      <c r="D300" s="69" t="s">
        <v>184</v>
      </c>
      <c r="E300" s="68" t="s">
        <v>143</v>
      </c>
      <c r="F300" s="59">
        <v>325</v>
      </c>
      <c r="G300" s="59">
        <f>H300-F300</f>
        <v>9</v>
      </c>
      <c r="H300" s="75">
        <v>334</v>
      </c>
      <c r="I300" s="75"/>
      <c r="J300" s="75">
        <v>358</v>
      </c>
      <c r="K300" s="123"/>
      <c r="L300" s="123"/>
      <c r="M300" s="59">
        <v>358</v>
      </c>
      <c r="N300" s="59">
        <f>O300-M300</f>
        <v>-358</v>
      </c>
      <c r="O300" s="59"/>
      <c r="P300" s="59"/>
      <c r="Q300" s="59"/>
      <c r="R300" s="117"/>
      <c r="S300" s="117"/>
      <c r="T300" s="117"/>
      <c r="U300" s="11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</row>
    <row r="301" spans="1:63" s="8" customFormat="1" ht="19.5" customHeight="1" hidden="1">
      <c r="A301" s="67" t="s">
        <v>121</v>
      </c>
      <c r="B301" s="68" t="s">
        <v>153</v>
      </c>
      <c r="C301" s="68" t="s">
        <v>127</v>
      </c>
      <c r="D301" s="69" t="s">
        <v>122</v>
      </c>
      <c r="E301" s="68"/>
      <c r="F301" s="59">
        <f aca="true" t="shared" si="155" ref="F301:Q301">F302</f>
        <v>0</v>
      </c>
      <c r="G301" s="59">
        <f t="shared" si="155"/>
        <v>7637</v>
      </c>
      <c r="H301" s="59">
        <f t="shared" si="155"/>
        <v>7637</v>
      </c>
      <c r="I301" s="59">
        <f t="shared" si="155"/>
        <v>0</v>
      </c>
      <c r="J301" s="59">
        <f t="shared" si="155"/>
        <v>7502</v>
      </c>
      <c r="K301" s="59">
        <f t="shared" si="155"/>
        <v>0</v>
      </c>
      <c r="L301" s="59">
        <f t="shared" si="155"/>
        <v>0</v>
      </c>
      <c r="M301" s="59">
        <f t="shared" si="155"/>
        <v>7502</v>
      </c>
      <c r="N301" s="59">
        <f t="shared" si="155"/>
        <v>-7502</v>
      </c>
      <c r="O301" s="59">
        <f t="shared" si="155"/>
        <v>0</v>
      </c>
      <c r="P301" s="59">
        <f t="shared" si="155"/>
        <v>0</v>
      </c>
      <c r="Q301" s="59">
        <f t="shared" si="155"/>
        <v>0</v>
      </c>
      <c r="R301" s="117"/>
      <c r="S301" s="117"/>
      <c r="T301" s="117"/>
      <c r="U301" s="11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</row>
    <row r="302" spans="1:63" s="8" customFormat="1" ht="30.75" customHeight="1" hidden="1">
      <c r="A302" s="67" t="s">
        <v>137</v>
      </c>
      <c r="B302" s="68" t="s">
        <v>153</v>
      </c>
      <c r="C302" s="68" t="s">
        <v>127</v>
      </c>
      <c r="D302" s="69" t="s">
        <v>122</v>
      </c>
      <c r="E302" s="68" t="s">
        <v>138</v>
      </c>
      <c r="F302" s="59"/>
      <c r="G302" s="59">
        <f>H302-F302</f>
        <v>7637</v>
      </c>
      <c r="H302" s="75">
        <v>7637</v>
      </c>
      <c r="I302" s="75"/>
      <c r="J302" s="75">
        <v>7502</v>
      </c>
      <c r="K302" s="123"/>
      <c r="L302" s="123"/>
      <c r="M302" s="59">
        <v>7502</v>
      </c>
      <c r="N302" s="59">
        <f>O302-M302</f>
        <v>-7502</v>
      </c>
      <c r="O302" s="59"/>
      <c r="P302" s="59"/>
      <c r="Q302" s="59"/>
      <c r="R302" s="117"/>
      <c r="S302" s="117"/>
      <c r="T302" s="117"/>
      <c r="U302" s="11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</row>
    <row r="303" spans="1:63" s="8" customFormat="1" ht="20.25">
      <c r="A303" s="67"/>
      <c r="B303" s="68"/>
      <c r="C303" s="68"/>
      <c r="D303" s="69"/>
      <c r="E303" s="68"/>
      <c r="F303" s="59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17"/>
      <c r="S303" s="117"/>
      <c r="T303" s="117"/>
      <c r="U303" s="11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</row>
    <row r="304" spans="1:63" s="16" customFormat="1" ht="18.75">
      <c r="A304" s="53" t="s">
        <v>93</v>
      </c>
      <c r="B304" s="54" t="s">
        <v>153</v>
      </c>
      <c r="C304" s="54" t="s">
        <v>132</v>
      </c>
      <c r="D304" s="65"/>
      <c r="E304" s="54"/>
      <c r="F304" s="56">
        <f aca="true" t="shared" si="156" ref="F304:U305">F305</f>
        <v>4856</v>
      </c>
      <c r="G304" s="56">
        <f t="shared" si="156"/>
        <v>309</v>
      </c>
      <c r="H304" s="56">
        <f t="shared" si="156"/>
        <v>5165</v>
      </c>
      <c r="I304" s="56">
        <f t="shared" si="156"/>
        <v>0</v>
      </c>
      <c r="J304" s="56">
        <f t="shared" si="156"/>
        <v>5552</v>
      </c>
      <c r="K304" s="56">
        <f t="shared" si="156"/>
        <v>0</v>
      </c>
      <c r="L304" s="56">
        <f t="shared" si="156"/>
        <v>0</v>
      </c>
      <c r="M304" s="56">
        <f t="shared" si="156"/>
        <v>5552</v>
      </c>
      <c r="N304" s="56">
        <f t="shared" si="156"/>
        <v>-1461</v>
      </c>
      <c r="O304" s="56">
        <f t="shared" si="156"/>
        <v>4091</v>
      </c>
      <c r="P304" s="56">
        <f t="shared" si="156"/>
        <v>0</v>
      </c>
      <c r="Q304" s="56">
        <f t="shared" si="156"/>
        <v>4091</v>
      </c>
      <c r="R304" s="56">
        <f t="shared" si="156"/>
        <v>0</v>
      </c>
      <c r="S304" s="56">
        <f t="shared" si="156"/>
        <v>0</v>
      </c>
      <c r="T304" s="56">
        <f t="shared" si="156"/>
        <v>4091</v>
      </c>
      <c r="U304" s="56">
        <f t="shared" si="156"/>
        <v>4091</v>
      </c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</row>
    <row r="305" spans="1:63" s="16" customFormat="1" ht="21.75" customHeight="1">
      <c r="A305" s="67" t="s">
        <v>169</v>
      </c>
      <c r="B305" s="68" t="s">
        <v>153</v>
      </c>
      <c r="C305" s="68" t="s">
        <v>132</v>
      </c>
      <c r="D305" s="69" t="s">
        <v>94</v>
      </c>
      <c r="E305" s="68"/>
      <c r="F305" s="59">
        <f t="shared" si="156"/>
        <v>4856</v>
      </c>
      <c r="G305" s="59">
        <f t="shared" si="156"/>
        <v>309</v>
      </c>
      <c r="H305" s="59">
        <f t="shared" si="156"/>
        <v>5165</v>
      </c>
      <c r="I305" s="59">
        <f t="shared" si="156"/>
        <v>0</v>
      </c>
      <c r="J305" s="59">
        <f t="shared" si="156"/>
        <v>5552</v>
      </c>
      <c r="K305" s="59">
        <f t="shared" si="156"/>
        <v>0</v>
      </c>
      <c r="L305" s="59">
        <f t="shared" si="156"/>
        <v>0</v>
      </c>
      <c r="M305" s="59">
        <f t="shared" si="156"/>
        <v>5552</v>
      </c>
      <c r="N305" s="59">
        <f t="shared" si="156"/>
        <v>-1461</v>
      </c>
      <c r="O305" s="59">
        <f t="shared" si="156"/>
        <v>4091</v>
      </c>
      <c r="P305" s="59">
        <f t="shared" si="156"/>
        <v>0</v>
      </c>
      <c r="Q305" s="59">
        <f t="shared" si="156"/>
        <v>4091</v>
      </c>
      <c r="R305" s="59">
        <f t="shared" si="156"/>
        <v>0</v>
      </c>
      <c r="S305" s="59">
        <f t="shared" si="156"/>
        <v>0</v>
      </c>
      <c r="T305" s="59">
        <f t="shared" si="156"/>
        <v>4091</v>
      </c>
      <c r="U305" s="59">
        <f t="shared" si="156"/>
        <v>4091</v>
      </c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</row>
    <row r="306" spans="1:63" s="16" customFormat="1" ht="36.75" customHeight="1">
      <c r="A306" s="67" t="s">
        <v>129</v>
      </c>
      <c r="B306" s="68" t="s">
        <v>153</v>
      </c>
      <c r="C306" s="68" t="s">
        <v>132</v>
      </c>
      <c r="D306" s="69" t="s">
        <v>94</v>
      </c>
      <c r="E306" s="68" t="s">
        <v>130</v>
      </c>
      <c r="F306" s="59">
        <v>4856</v>
      </c>
      <c r="G306" s="59">
        <f>H306-F306</f>
        <v>309</v>
      </c>
      <c r="H306" s="71">
        <v>5165</v>
      </c>
      <c r="I306" s="71"/>
      <c r="J306" s="71">
        <v>5552</v>
      </c>
      <c r="K306" s="72"/>
      <c r="L306" s="72"/>
      <c r="M306" s="59">
        <v>5552</v>
      </c>
      <c r="N306" s="59">
        <f>O306-M306</f>
        <v>-1461</v>
      </c>
      <c r="O306" s="59">
        <v>4091</v>
      </c>
      <c r="P306" s="59"/>
      <c r="Q306" s="59">
        <v>4091</v>
      </c>
      <c r="R306" s="61"/>
      <c r="S306" s="61"/>
      <c r="T306" s="59">
        <f>O306+R306</f>
        <v>4091</v>
      </c>
      <c r="U306" s="59">
        <f>Q306+S306</f>
        <v>4091</v>
      </c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</row>
    <row r="307" spans="1:63" s="16" customFormat="1" ht="16.5">
      <c r="A307" s="67"/>
      <c r="B307" s="68"/>
      <c r="C307" s="68"/>
      <c r="D307" s="69"/>
      <c r="E307" s="68"/>
      <c r="F307" s="124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61"/>
      <c r="S307" s="61"/>
      <c r="T307" s="61"/>
      <c r="U307" s="61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</row>
    <row r="308" spans="1:63" s="16" customFormat="1" ht="54.75" customHeight="1">
      <c r="A308" s="53" t="s">
        <v>178</v>
      </c>
      <c r="B308" s="54" t="s">
        <v>153</v>
      </c>
      <c r="C308" s="54" t="s">
        <v>149</v>
      </c>
      <c r="D308" s="65"/>
      <c r="E308" s="54"/>
      <c r="F308" s="56">
        <f aca="true" t="shared" si="157" ref="F308:U309">F309</f>
        <v>780</v>
      </c>
      <c r="G308" s="56">
        <f t="shared" si="157"/>
        <v>-113</v>
      </c>
      <c r="H308" s="56">
        <f t="shared" si="157"/>
        <v>667</v>
      </c>
      <c r="I308" s="56">
        <f t="shared" si="157"/>
        <v>0</v>
      </c>
      <c r="J308" s="56">
        <f t="shared" si="157"/>
        <v>715</v>
      </c>
      <c r="K308" s="56">
        <f t="shared" si="157"/>
        <v>0</v>
      </c>
      <c r="L308" s="56">
        <f t="shared" si="157"/>
        <v>0</v>
      </c>
      <c r="M308" s="56">
        <f t="shared" si="157"/>
        <v>715</v>
      </c>
      <c r="N308" s="56">
        <f t="shared" si="157"/>
        <v>-319</v>
      </c>
      <c r="O308" s="56">
        <f t="shared" si="157"/>
        <v>396</v>
      </c>
      <c r="P308" s="56">
        <f t="shared" si="157"/>
        <v>0</v>
      </c>
      <c r="Q308" s="56">
        <f t="shared" si="157"/>
        <v>396</v>
      </c>
      <c r="R308" s="56">
        <f t="shared" si="157"/>
        <v>0</v>
      </c>
      <c r="S308" s="56">
        <f t="shared" si="157"/>
        <v>0</v>
      </c>
      <c r="T308" s="56">
        <f t="shared" si="157"/>
        <v>396</v>
      </c>
      <c r="U308" s="56">
        <f t="shared" si="157"/>
        <v>396</v>
      </c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</row>
    <row r="309" spans="1:63" s="14" customFormat="1" ht="44.25" customHeight="1">
      <c r="A309" s="67" t="s">
        <v>91</v>
      </c>
      <c r="B309" s="68" t="s">
        <v>153</v>
      </c>
      <c r="C309" s="68" t="s">
        <v>149</v>
      </c>
      <c r="D309" s="69" t="s">
        <v>92</v>
      </c>
      <c r="E309" s="68"/>
      <c r="F309" s="59">
        <f t="shared" si="157"/>
        <v>780</v>
      </c>
      <c r="G309" s="59">
        <f t="shared" si="157"/>
        <v>-113</v>
      </c>
      <c r="H309" s="59">
        <f t="shared" si="157"/>
        <v>667</v>
      </c>
      <c r="I309" s="59">
        <f t="shared" si="157"/>
        <v>0</v>
      </c>
      <c r="J309" s="59">
        <f t="shared" si="157"/>
        <v>715</v>
      </c>
      <c r="K309" s="59">
        <f t="shared" si="157"/>
        <v>0</v>
      </c>
      <c r="L309" s="59">
        <f t="shared" si="157"/>
        <v>0</v>
      </c>
      <c r="M309" s="59">
        <f t="shared" si="157"/>
        <v>715</v>
      </c>
      <c r="N309" s="59">
        <f t="shared" si="157"/>
        <v>-319</v>
      </c>
      <c r="O309" s="59">
        <f t="shared" si="157"/>
        <v>396</v>
      </c>
      <c r="P309" s="59">
        <f t="shared" si="157"/>
        <v>0</v>
      </c>
      <c r="Q309" s="59">
        <f t="shared" si="157"/>
        <v>396</v>
      </c>
      <c r="R309" s="59">
        <f t="shared" si="157"/>
        <v>0</v>
      </c>
      <c r="S309" s="59">
        <f t="shared" si="157"/>
        <v>0</v>
      </c>
      <c r="T309" s="59">
        <f t="shared" si="157"/>
        <v>396</v>
      </c>
      <c r="U309" s="59">
        <f t="shared" si="157"/>
        <v>396</v>
      </c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</row>
    <row r="310" spans="1:63" s="16" customFormat="1" ht="59.25" customHeight="1">
      <c r="A310" s="67" t="s">
        <v>137</v>
      </c>
      <c r="B310" s="68" t="s">
        <v>153</v>
      </c>
      <c r="C310" s="68" t="s">
        <v>149</v>
      </c>
      <c r="D310" s="69" t="s">
        <v>92</v>
      </c>
      <c r="E310" s="68" t="s">
        <v>138</v>
      </c>
      <c r="F310" s="59">
        <v>780</v>
      </c>
      <c r="G310" s="59">
        <f>H310-F310</f>
        <v>-113</v>
      </c>
      <c r="H310" s="71">
        <v>667</v>
      </c>
      <c r="I310" s="71"/>
      <c r="J310" s="71">
        <v>715</v>
      </c>
      <c r="K310" s="72"/>
      <c r="L310" s="72"/>
      <c r="M310" s="59">
        <v>715</v>
      </c>
      <c r="N310" s="59">
        <f>O310-M310</f>
        <v>-319</v>
      </c>
      <c r="O310" s="59">
        <v>396</v>
      </c>
      <c r="P310" s="59"/>
      <c r="Q310" s="59">
        <v>396</v>
      </c>
      <c r="R310" s="61"/>
      <c r="S310" s="61"/>
      <c r="T310" s="59">
        <f>O310+R310</f>
        <v>396</v>
      </c>
      <c r="U310" s="59">
        <f>Q310+S310</f>
        <v>396</v>
      </c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</row>
    <row r="311" spans="1:21" ht="15">
      <c r="A311" s="83"/>
      <c r="B311" s="84"/>
      <c r="C311" s="84"/>
      <c r="D311" s="85"/>
      <c r="E311" s="84"/>
      <c r="F311" s="45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</row>
    <row r="312" spans="1:63" s="8" customFormat="1" ht="63" customHeight="1">
      <c r="A312" s="48" t="s">
        <v>175</v>
      </c>
      <c r="B312" s="49" t="s">
        <v>95</v>
      </c>
      <c r="C312" s="49"/>
      <c r="D312" s="50"/>
      <c r="E312" s="49"/>
      <c r="F312" s="114">
        <f aca="true" t="shared" si="158" ref="F312:Q312">F314+F320+F326+F330+F334+F348</f>
        <v>1239804</v>
      </c>
      <c r="G312" s="114">
        <f t="shared" si="158"/>
        <v>201718</v>
      </c>
      <c r="H312" s="114">
        <f t="shared" si="158"/>
        <v>1441522</v>
      </c>
      <c r="I312" s="114">
        <f t="shared" si="158"/>
        <v>0</v>
      </c>
      <c r="J312" s="114">
        <f t="shared" si="158"/>
        <v>1558009</v>
      </c>
      <c r="K312" s="114">
        <f t="shared" si="158"/>
        <v>0</v>
      </c>
      <c r="L312" s="114">
        <f t="shared" si="158"/>
        <v>0</v>
      </c>
      <c r="M312" s="114">
        <f t="shared" si="158"/>
        <v>1558009</v>
      </c>
      <c r="N312" s="114">
        <f t="shared" si="158"/>
        <v>-654295</v>
      </c>
      <c r="O312" s="114">
        <f t="shared" si="158"/>
        <v>903714</v>
      </c>
      <c r="P312" s="114">
        <f t="shared" si="158"/>
        <v>0</v>
      </c>
      <c r="Q312" s="114">
        <f t="shared" si="158"/>
        <v>903399</v>
      </c>
      <c r="R312" s="114">
        <f>R314+R320+R326+R330+R334+R348</f>
        <v>1200</v>
      </c>
      <c r="S312" s="114">
        <f>S314+S320+S326+S330+S334+S348</f>
        <v>0</v>
      </c>
      <c r="T312" s="114">
        <f>T314+T320+T326+T330+T334+T348</f>
        <v>904914</v>
      </c>
      <c r="U312" s="114">
        <f>U314+U320+U326+U330+U334+U348</f>
        <v>903399</v>
      </c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</row>
    <row r="313" spans="1:21" ht="19.5" customHeight="1">
      <c r="A313" s="83"/>
      <c r="B313" s="84"/>
      <c r="C313" s="84"/>
      <c r="D313" s="85"/>
      <c r="E313" s="84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</row>
    <row r="314" spans="1:63" s="12" customFormat="1" ht="27.75" customHeight="1">
      <c r="A314" s="53" t="s">
        <v>170</v>
      </c>
      <c r="B314" s="54" t="s">
        <v>146</v>
      </c>
      <c r="C314" s="54" t="s">
        <v>127</v>
      </c>
      <c r="D314" s="65"/>
      <c r="E314" s="54"/>
      <c r="F314" s="66">
        <f aca="true" t="shared" si="159" ref="F314:O314">F315+F317</f>
        <v>456040</v>
      </c>
      <c r="G314" s="66">
        <f t="shared" si="159"/>
        <v>183629</v>
      </c>
      <c r="H314" s="66">
        <f t="shared" si="159"/>
        <v>639669</v>
      </c>
      <c r="I314" s="66">
        <f t="shared" si="159"/>
        <v>0</v>
      </c>
      <c r="J314" s="66">
        <f t="shared" si="159"/>
        <v>710554</v>
      </c>
      <c r="K314" s="66">
        <f t="shared" si="159"/>
        <v>0</v>
      </c>
      <c r="L314" s="66">
        <f t="shared" si="159"/>
        <v>0</v>
      </c>
      <c r="M314" s="66">
        <f t="shared" si="159"/>
        <v>710554</v>
      </c>
      <c r="N314" s="66">
        <f t="shared" si="159"/>
        <v>-352038</v>
      </c>
      <c r="O314" s="66">
        <f t="shared" si="159"/>
        <v>358516</v>
      </c>
      <c r="P314" s="66">
        <f aca="true" t="shared" si="160" ref="P314:U314">P315+P317</f>
        <v>0</v>
      </c>
      <c r="Q314" s="66">
        <f t="shared" si="160"/>
        <v>383048</v>
      </c>
      <c r="R314" s="66">
        <f t="shared" si="160"/>
        <v>0</v>
      </c>
      <c r="S314" s="66">
        <f t="shared" si="160"/>
        <v>0</v>
      </c>
      <c r="T314" s="66">
        <f t="shared" si="160"/>
        <v>358516</v>
      </c>
      <c r="U314" s="66">
        <f t="shared" si="160"/>
        <v>383048</v>
      </c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</row>
    <row r="315" spans="1:63" s="12" customFormat="1" ht="54" customHeight="1" hidden="1">
      <c r="A315" s="67" t="s">
        <v>150</v>
      </c>
      <c r="B315" s="68" t="s">
        <v>146</v>
      </c>
      <c r="C315" s="68" t="s">
        <v>127</v>
      </c>
      <c r="D315" s="69" t="s">
        <v>38</v>
      </c>
      <c r="E315" s="68"/>
      <c r="F315" s="70">
        <f aca="true" t="shared" si="161" ref="F315:U315">F316</f>
        <v>10425</v>
      </c>
      <c r="G315" s="70">
        <f t="shared" si="161"/>
        <v>5711</v>
      </c>
      <c r="H315" s="70">
        <f t="shared" si="161"/>
        <v>16136</v>
      </c>
      <c r="I315" s="70">
        <f t="shared" si="161"/>
        <v>0</v>
      </c>
      <c r="J315" s="70">
        <f t="shared" si="161"/>
        <v>14288</v>
      </c>
      <c r="K315" s="70">
        <f t="shared" si="161"/>
        <v>0</v>
      </c>
      <c r="L315" s="70">
        <f t="shared" si="161"/>
        <v>0</v>
      </c>
      <c r="M315" s="70">
        <f t="shared" si="161"/>
        <v>14288</v>
      </c>
      <c r="N315" s="70">
        <f t="shared" si="161"/>
        <v>-14288</v>
      </c>
      <c r="O315" s="70">
        <f t="shared" si="161"/>
        <v>0</v>
      </c>
      <c r="P315" s="70">
        <f t="shared" si="161"/>
        <v>0</v>
      </c>
      <c r="Q315" s="70">
        <f t="shared" si="161"/>
        <v>0</v>
      </c>
      <c r="R315" s="70">
        <f t="shared" si="161"/>
        <v>0</v>
      </c>
      <c r="S315" s="70">
        <f t="shared" si="161"/>
        <v>0</v>
      </c>
      <c r="T315" s="70">
        <f t="shared" si="161"/>
        <v>0</v>
      </c>
      <c r="U315" s="70">
        <f t="shared" si="161"/>
        <v>0</v>
      </c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</row>
    <row r="316" spans="1:63" s="12" customFormat="1" ht="83.25" customHeight="1" hidden="1">
      <c r="A316" s="67" t="s">
        <v>256</v>
      </c>
      <c r="B316" s="68" t="s">
        <v>146</v>
      </c>
      <c r="C316" s="68" t="s">
        <v>127</v>
      </c>
      <c r="D316" s="69" t="s">
        <v>38</v>
      </c>
      <c r="E316" s="68" t="s">
        <v>151</v>
      </c>
      <c r="F316" s="59">
        <v>10425</v>
      </c>
      <c r="G316" s="59">
        <f>H316-F316</f>
        <v>5711</v>
      </c>
      <c r="H316" s="59">
        <v>16136</v>
      </c>
      <c r="I316" s="59"/>
      <c r="J316" s="59">
        <v>14288</v>
      </c>
      <c r="K316" s="125"/>
      <c r="L316" s="125"/>
      <c r="M316" s="59">
        <v>14288</v>
      </c>
      <c r="N316" s="59">
        <f>O316-M316</f>
        <v>-14288</v>
      </c>
      <c r="O316" s="59"/>
      <c r="P316" s="59"/>
      <c r="Q316" s="59"/>
      <c r="R316" s="59"/>
      <c r="S316" s="59"/>
      <c r="T316" s="59"/>
      <c r="U316" s="59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</row>
    <row r="317" spans="1:63" s="14" customFormat="1" ht="36.75" customHeight="1">
      <c r="A317" s="67" t="s">
        <v>324</v>
      </c>
      <c r="B317" s="68" t="s">
        <v>146</v>
      </c>
      <c r="C317" s="68" t="s">
        <v>127</v>
      </c>
      <c r="D317" s="69" t="s">
        <v>98</v>
      </c>
      <c r="E317" s="68"/>
      <c r="F317" s="70">
        <f aca="true" t="shared" si="162" ref="F317:U317">F318</f>
        <v>445615</v>
      </c>
      <c r="G317" s="70">
        <f t="shared" si="162"/>
        <v>177918</v>
      </c>
      <c r="H317" s="70">
        <f t="shared" si="162"/>
        <v>623533</v>
      </c>
      <c r="I317" s="70">
        <f t="shared" si="162"/>
        <v>0</v>
      </c>
      <c r="J317" s="70">
        <f t="shared" si="162"/>
        <v>696266</v>
      </c>
      <c r="K317" s="70">
        <f t="shared" si="162"/>
        <v>0</v>
      </c>
      <c r="L317" s="70">
        <f t="shared" si="162"/>
        <v>0</v>
      </c>
      <c r="M317" s="70">
        <f t="shared" si="162"/>
        <v>696266</v>
      </c>
      <c r="N317" s="70">
        <f t="shared" si="162"/>
        <v>-337750</v>
      </c>
      <c r="O317" s="70">
        <f t="shared" si="162"/>
        <v>358516</v>
      </c>
      <c r="P317" s="70">
        <f t="shared" si="162"/>
        <v>0</v>
      </c>
      <c r="Q317" s="70">
        <f t="shared" si="162"/>
        <v>383048</v>
      </c>
      <c r="R317" s="70">
        <f t="shared" si="162"/>
        <v>0</v>
      </c>
      <c r="S317" s="70">
        <f t="shared" si="162"/>
        <v>0</v>
      </c>
      <c r="T317" s="70">
        <f t="shared" si="162"/>
        <v>358516</v>
      </c>
      <c r="U317" s="70">
        <f t="shared" si="162"/>
        <v>383048</v>
      </c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</row>
    <row r="318" spans="1:63" s="16" customFormat="1" ht="36.75" customHeight="1">
      <c r="A318" s="67" t="s">
        <v>129</v>
      </c>
      <c r="B318" s="68" t="s">
        <v>146</v>
      </c>
      <c r="C318" s="68" t="s">
        <v>127</v>
      </c>
      <c r="D318" s="69" t="s">
        <v>98</v>
      </c>
      <c r="E318" s="68" t="s">
        <v>130</v>
      </c>
      <c r="F318" s="59">
        <v>445615</v>
      </c>
      <c r="G318" s="59">
        <f>H318-F318</f>
        <v>177918</v>
      </c>
      <c r="H318" s="59">
        <v>623533</v>
      </c>
      <c r="I318" s="60"/>
      <c r="J318" s="59">
        <v>696266</v>
      </c>
      <c r="K318" s="60"/>
      <c r="L318" s="60"/>
      <c r="M318" s="59">
        <v>696266</v>
      </c>
      <c r="N318" s="59">
        <f>O318-M318</f>
        <v>-337750</v>
      </c>
      <c r="O318" s="59">
        <v>358516</v>
      </c>
      <c r="P318" s="59"/>
      <c r="Q318" s="59">
        <v>383048</v>
      </c>
      <c r="R318" s="61"/>
      <c r="S318" s="61"/>
      <c r="T318" s="59">
        <f>O318+R318</f>
        <v>358516</v>
      </c>
      <c r="U318" s="59">
        <f>Q318+S318</f>
        <v>383048</v>
      </c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</row>
    <row r="319" spans="1:63" s="16" customFormat="1" ht="21.75" customHeight="1">
      <c r="A319" s="67"/>
      <c r="B319" s="68"/>
      <c r="C319" s="68"/>
      <c r="D319" s="69"/>
      <c r="E319" s="68"/>
      <c r="F319" s="59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1"/>
      <c r="S319" s="61"/>
      <c r="T319" s="61"/>
      <c r="U319" s="61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</row>
    <row r="320" spans="1:63" s="10" customFormat="1" ht="18.75">
      <c r="A320" s="53" t="s">
        <v>171</v>
      </c>
      <c r="B320" s="54" t="s">
        <v>146</v>
      </c>
      <c r="C320" s="54" t="s">
        <v>128</v>
      </c>
      <c r="D320" s="65"/>
      <c r="E320" s="54"/>
      <c r="F320" s="66">
        <f aca="true" t="shared" si="163" ref="F320:O320">F323+F321</f>
        <v>176479</v>
      </c>
      <c r="G320" s="66">
        <f t="shared" si="163"/>
        <v>81172</v>
      </c>
      <c r="H320" s="66">
        <f t="shared" si="163"/>
        <v>257651</v>
      </c>
      <c r="I320" s="66">
        <f t="shared" si="163"/>
        <v>0</v>
      </c>
      <c r="J320" s="66">
        <f t="shared" si="163"/>
        <v>275294</v>
      </c>
      <c r="K320" s="66">
        <f t="shared" si="163"/>
        <v>0</v>
      </c>
      <c r="L320" s="66">
        <f t="shared" si="163"/>
        <v>0</v>
      </c>
      <c r="M320" s="66">
        <f t="shared" si="163"/>
        <v>275294</v>
      </c>
      <c r="N320" s="66">
        <f t="shared" si="163"/>
        <v>-151829</v>
      </c>
      <c r="O320" s="66">
        <f t="shared" si="163"/>
        <v>123465</v>
      </c>
      <c r="P320" s="66">
        <f aca="true" t="shared" si="164" ref="P320:U320">P323+P321</f>
        <v>0</v>
      </c>
      <c r="Q320" s="66">
        <f t="shared" si="164"/>
        <v>121078</v>
      </c>
      <c r="R320" s="66">
        <f t="shared" si="164"/>
        <v>-669</v>
      </c>
      <c r="S320" s="66">
        <f t="shared" si="164"/>
        <v>0</v>
      </c>
      <c r="T320" s="66">
        <f t="shared" si="164"/>
        <v>122796</v>
      </c>
      <c r="U320" s="66">
        <f t="shared" si="164"/>
        <v>121078</v>
      </c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</row>
    <row r="321" spans="1:63" s="10" customFormat="1" ht="54" customHeight="1">
      <c r="A321" s="67" t="s">
        <v>150</v>
      </c>
      <c r="B321" s="68" t="s">
        <v>146</v>
      </c>
      <c r="C321" s="68" t="s">
        <v>128</v>
      </c>
      <c r="D321" s="69" t="s">
        <v>38</v>
      </c>
      <c r="E321" s="68"/>
      <c r="F321" s="70">
        <f aca="true" t="shared" si="165" ref="F321:U321">F322</f>
        <v>0</v>
      </c>
      <c r="G321" s="70">
        <f t="shared" si="165"/>
        <v>7008</v>
      </c>
      <c r="H321" s="70">
        <f t="shared" si="165"/>
        <v>7008</v>
      </c>
      <c r="I321" s="70">
        <f t="shared" si="165"/>
        <v>0</v>
      </c>
      <c r="J321" s="70">
        <f t="shared" si="165"/>
        <v>0</v>
      </c>
      <c r="K321" s="70">
        <f t="shared" si="165"/>
        <v>0</v>
      </c>
      <c r="L321" s="70">
        <f t="shared" si="165"/>
        <v>0</v>
      </c>
      <c r="M321" s="70">
        <f t="shared" si="165"/>
        <v>0</v>
      </c>
      <c r="N321" s="70">
        <f t="shared" si="165"/>
        <v>3000</v>
      </c>
      <c r="O321" s="70">
        <f t="shared" si="165"/>
        <v>3000</v>
      </c>
      <c r="P321" s="70">
        <f t="shared" si="165"/>
        <v>0</v>
      </c>
      <c r="Q321" s="70">
        <f t="shared" si="165"/>
        <v>2500</v>
      </c>
      <c r="R321" s="70">
        <f t="shared" si="165"/>
        <v>-669</v>
      </c>
      <c r="S321" s="70">
        <f t="shared" si="165"/>
        <v>0</v>
      </c>
      <c r="T321" s="70">
        <f t="shared" si="165"/>
        <v>2331</v>
      </c>
      <c r="U321" s="70">
        <f t="shared" si="165"/>
        <v>2500</v>
      </c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</row>
    <row r="322" spans="1:63" s="10" customFormat="1" ht="84" customHeight="1">
      <c r="A322" s="67" t="s">
        <v>256</v>
      </c>
      <c r="B322" s="68" t="s">
        <v>146</v>
      </c>
      <c r="C322" s="68" t="s">
        <v>128</v>
      </c>
      <c r="D322" s="69" t="s">
        <v>38</v>
      </c>
      <c r="E322" s="68" t="s">
        <v>151</v>
      </c>
      <c r="F322" s="59"/>
      <c r="G322" s="59">
        <f>H322-F322</f>
        <v>7008</v>
      </c>
      <c r="H322" s="59">
        <v>7008</v>
      </c>
      <c r="I322" s="63"/>
      <c r="J322" s="63"/>
      <c r="K322" s="63"/>
      <c r="L322" s="63"/>
      <c r="M322" s="59"/>
      <c r="N322" s="59">
        <f>O322-M322</f>
        <v>3000</v>
      </c>
      <c r="O322" s="59">
        <v>3000</v>
      </c>
      <c r="P322" s="59"/>
      <c r="Q322" s="59">
        <v>2500</v>
      </c>
      <c r="R322" s="60">
        <v>-669</v>
      </c>
      <c r="S322" s="64"/>
      <c r="T322" s="59">
        <f>O322+R322</f>
        <v>2331</v>
      </c>
      <c r="U322" s="59">
        <f>Q322+S322</f>
        <v>2500</v>
      </c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</row>
    <row r="323" spans="1:63" s="14" customFormat="1" ht="32.25" customHeight="1">
      <c r="A323" s="67" t="s">
        <v>99</v>
      </c>
      <c r="B323" s="68" t="s">
        <v>146</v>
      </c>
      <c r="C323" s="68" t="s">
        <v>128</v>
      </c>
      <c r="D323" s="69" t="s">
        <v>100</v>
      </c>
      <c r="E323" s="68"/>
      <c r="F323" s="70">
        <f aca="true" t="shared" si="166" ref="F323:U323">F324</f>
        <v>176479</v>
      </c>
      <c r="G323" s="70">
        <f t="shared" si="166"/>
        <v>74164</v>
      </c>
      <c r="H323" s="70">
        <f t="shared" si="166"/>
        <v>250643</v>
      </c>
      <c r="I323" s="70">
        <f t="shared" si="166"/>
        <v>0</v>
      </c>
      <c r="J323" s="70">
        <f t="shared" si="166"/>
        <v>275294</v>
      </c>
      <c r="K323" s="70">
        <f t="shared" si="166"/>
        <v>0</v>
      </c>
      <c r="L323" s="70">
        <f t="shared" si="166"/>
        <v>0</v>
      </c>
      <c r="M323" s="70">
        <f t="shared" si="166"/>
        <v>275294</v>
      </c>
      <c r="N323" s="70">
        <f t="shared" si="166"/>
        <v>-154829</v>
      </c>
      <c r="O323" s="70">
        <f t="shared" si="166"/>
        <v>120465</v>
      </c>
      <c r="P323" s="70">
        <f t="shared" si="166"/>
        <v>0</v>
      </c>
      <c r="Q323" s="70">
        <f t="shared" si="166"/>
        <v>118578</v>
      </c>
      <c r="R323" s="70">
        <f t="shared" si="166"/>
        <v>0</v>
      </c>
      <c r="S323" s="70">
        <f t="shared" si="166"/>
        <v>0</v>
      </c>
      <c r="T323" s="70">
        <f t="shared" si="166"/>
        <v>120465</v>
      </c>
      <c r="U323" s="70">
        <f t="shared" si="166"/>
        <v>118578</v>
      </c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</row>
    <row r="324" spans="1:63" s="16" customFormat="1" ht="35.25" customHeight="1">
      <c r="A324" s="67" t="s">
        <v>129</v>
      </c>
      <c r="B324" s="68" t="s">
        <v>146</v>
      </c>
      <c r="C324" s="68" t="s">
        <v>128</v>
      </c>
      <c r="D324" s="69" t="s">
        <v>100</v>
      </c>
      <c r="E324" s="68" t="s">
        <v>130</v>
      </c>
      <c r="F324" s="59">
        <v>176479</v>
      </c>
      <c r="G324" s="59">
        <f>H324-F324</f>
        <v>74164</v>
      </c>
      <c r="H324" s="59">
        <v>250643</v>
      </c>
      <c r="I324" s="59"/>
      <c r="J324" s="59">
        <v>275294</v>
      </c>
      <c r="K324" s="60"/>
      <c r="L324" s="60"/>
      <c r="M324" s="59">
        <v>275294</v>
      </c>
      <c r="N324" s="59">
        <f>O324-M324</f>
        <v>-154829</v>
      </c>
      <c r="O324" s="59">
        <v>120465</v>
      </c>
      <c r="P324" s="59"/>
      <c r="Q324" s="59">
        <v>118578</v>
      </c>
      <c r="R324" s="61"/>
      <c r="S324" s="61"/>
      <c r="T324" s="59">
        <f>O324+R324</f>
        <v>120465</v>
      </c>
      <c r="U324" s="59">
        <f>Q324+S324</f>
        <v>118578</v>
      </c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</row>
    <row r="325" spans="1:63" s="16" customFormat="1" ht="16.5">
      <c r="A325" s="67"/>
      <c r="B325" s="68"/>
      <c r="C325" s="68"/>
      <c r="D325" s="69"/>
      <c r="E325" s="68"/>
      <c r="F325" s="59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1"/>
      <c r="S325" s="61"/>
      <c r="T325" s="61"/>
      <c r="U325" s="61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</row>
    <row r="326" spans="1:63" s="16" customFormat="1" ht="24.75" customHeight="1">
      <c r="A326" s="53" t="s">
        <v>0</v>
      </c>
      <c r="B326" s="54" t="s">
        <v>146</v>
      </c>
      <c r="C326" s="54" t="s">
        <v>135</v>
      </c>
      <c r="D326" s="65"/>
      <c r="E326" s="54"/>
      <c r="F326" s="66">
        <f aca="true" t="shared" si="167" ref="F326:U327">F327</f>
        <v>229141</v>
      </c>
      <c r="G326" s="66">
        <f t="shared" si="167"/>
        <v>28032</v>
      </c>
      <c r="H326" s="66">
        <f t="shared" si="167"/>
        <v>257173</v>
      </c>
      <c r="I326" s="66">
        <f t="shared" si="167"/>
        <v>0</v>
      </c>
      <c r="J326" s="66">
        <f t="shared" si="167"/>
        <v>275614</v>
      </c>
      <c r="K326" s="66">
        <f t="shared" si="167"/>
        <v>0</v>
      </c>
      <c r="L326" s="66">
        <f t="shared" si="167"/>
        <v>0</v>
      </c>
      <c r="M326" s="66">
        <f t="shared" si="167"/>
        <v>275614</v>
      </c>
      <c r="N326" s="66">
        <f t="shared" si="167"/>
        <v>-60549</v>
      </c>
      <c r="O326" s="66">
        <f t="shared" si="167"/>
        <v>215065</v>
      </c>
      <c r="P326" s="66">
        <f t="shared" si="167"/>
        <v>0</v>
      </c>
      <c r="Q326" s="66">
        <f t="shared" si="167"/>
        <v>200287</v>
      </c>
      <c r="R326" s="66">
        <f t="shared" si="167"/>
        <v>0</v>
      </c>
      <c r="S326" s="66">
        <f t="shared" si="167"/>
        <v>0</v>
      </c>
      <c r="T326" s="66">
        <f t="shared" si="167"/>
        <v>215065</v>
      </c>
      <c r="U326" s="66">
        <f t="shared" si="167"/>
        <v>200287</v>
      </c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</row>
    <row r="327" spans="1:63" s="16" customFormat="1" ht="22.5" customHeight="1">
      <c r="A327" s="67" t="s">
        <v>103</v>
      </c>
      <c r="B327" s="68" t="s">
        <v>146</v>
      </c>
      <c r="C327" s="68" t="s">
        <v>135</v>
      </c>
      <c r="D327" s="69" t="s">
        <v>104</v>
      </c>
      <c r="E327" s="68"/>
      <c r="F327" s="70">
        <f t="shared" si="167"/>
        <v>229141</v>
      </c>
      <c r="G327" s="70">
        <f t="shared" si="167"/>
        <v>28032</v>
      </c>
      <c r="H327" s="70">
        <f t="shared" si="167"/>
        <v>257173</v>
      </c>
      <c r="I327" s="70">
        <f t="shared" si="167"/>
        <v>0</v>
      </c>
      <c r="J327" s="70">
        <f t="shared" si="167"/>
        <v>275614</v>
      </c>
      <c r="K327" s="70">
        <f t="shared" si="167"/>
        <v>0</v>
      </c>
      <c r="L327" s="70">
        <f t="shared" si="167"/>
        <v>0</v>
      </c>
      <c r="M327" s="70">
        <f t="shared" si="167"/>
        <v>275614</v>
      </c>
      <c r="N327" s="70">
        <f t="shared" si="167"/>
        <v>-60549</v>
      </c>
      <c r="O327" s="70">
        <f t="shared" si="167"/>
        <v>215065</v>
      </c>
      <c r="P327" s="70">
        <f t="shared" si="167"/>
        <v>0</v>
      </c>
      <c r="Q327" s="70">
        <f t="shared" si="167"/>
        <v>200287</v>
      </c>
      <c r="R327" s="70">
        <f t="shared" si="167"/>
        <v>0</v>
      </c>
      <c r="S327" s="70">
        <f t="shared" si="167"/>
        <v>0</v>
      </c>
      <c r="T327" s="70">
        <f t="shared" si="167"/>
        <v>215065</v>
      </c>
      <c r="U327" s="70">
        <f t="shared" si="167"/>
        <v>200287</v>
      </c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</row>
    <row r="328" spans="1:63" s="16" customFormat="1" ht="36" customHeight="1">
      <c r="A328" s="67" t="s">
        <v>129</v>
      </c>
      <c r="B328" s="68" t="s">
        <v>146</v>
      </c>
      <c r="C328" s="68" t="s">
        <v>135</v>
      </c>
      <c r="D328" s="69" t="s">
        <v>104</v>
      </c>
      <c r="E328" s="68" t="s">
        <v>130</v>
      </c>
      <c r="F328" s="59">
        <v>229141</v>
      </c>
      <c r="G328" s="59">
        <f>H328-F328</f>
        <v>28032</v>
      </c>
      <c r="H328" s="59">
        <v>257173</v>
      </c>
      <c r="I328" s="59"/>
      <c r="J328" s="59">
        <v>275614</v>
      </c>
      <c r="K328" s="60"/>
      <c r="L328" s="60"/>
      <c r="M328" s="59">
        <v>275614</v>
      </c>
      <c r="N328" s="59">
        <f>O328-M328</f>
        <v>-60549</v>
      </c>
      <c r="O328" s="59">
        <v>215065</v>
      </c>
      <c r="P328" s="59"/>
      <c r="Q328" s="59">
        <v>200287</v>
      </c>
      <c r="R328" s="61"/>
      <c r="S328" s="61"/>
      <c r="T328" s="59">
        <f>O328+R328</f>
        <v>215065</v>
      </c>
      <c r="U328" s="59">
        <f>Q328+S328</f>
        <v>200287</v>
      </c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</row>
    <row r="329" spans="1:63" s="16" customFormat="1" ht="23.25" customHeight="1">
      <c r="A329" s="67"/>
      <c r="B329" s="68"/>
      <c r="C329" s="68"/>
      <c r="D329" s="69"/>
      <c r="E329" s="68"/>
      <c r="F329" s="59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1"/>
      <c r="S329" s="61"/>
      <c r="T329" s="61"/>
      <c r="U329" s="61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</row>
    <row r="330" spans="1:63" s="10" customFormat="1" ht="36" customHeight="1">
      <c r="A330" s="53" t="s">
        <v>1</v>
      </c>
      <c r="B330" s="54" t="s">
        <v>146</v>
      </c>
      <c r="C330" s="54" t="s">
        <v>158</v>
      </c>
      <c r="D330" s="65"/>
      <c r="E330" s="54"/>
      <c r="F330" s="66">
        <f aca="true" t="shared" si="168" ref="F330:U331">F331</f>
        <v>90724</v>
      </c>
      <c r="G330" s="66">
        <f t="shared" si="168"/>
        <v>20756</v>
      </c>
      <c r="H330" s="66">
        <f t="shared" si="168"/>
        <v>111480</v>
      </c>
      <c r="I330" s="66">
        <f t="shared" si="168"/>
        <v>0</v>
      </c>
      <c r="J330" s="66">
        <f t="shared" si="168"/>
        <v>120990</v>
      </c>
      <c r="K330" s="66">
        <f t="shared" si="168"/>
        <v>0</v>
      </c>
      <c r="L330" s="66">
        <f t="shared" si="168"/>
        <v>0</v>
      </c>
      <c r="M330" s="66">
        <f t="shared" si="168"/>
        <v>120990</v>
      </c>
      <c r="N330" s="66">
        <f t="shared" si="168"/>
        <v>-44708</v>
      </c>
      <c r="O330" s="66">
        <f t="shared" si="168"/>
        <v>76282</v>
      </c>
      <c r="P330" s="66">
        <f t="shared" si="168"/>
        <v>0</v>
      </c>
      <c r="Q330" s="66">
        <f t="shared" si="168"/>
        <v>73821</v>
      </c>
      <c r="R330" s="66">
        <f t="shared" si="168"/>
        <v>0</v>
      </c>
      <c r="S330" s="66">
        <f t="shared" si="168"/>
        <v>0</v>
      </c>
      <c r="T330" s="66">
        <f t="shared" si="168"/>
        <v>76282</v>
      </c>
      <c r="U330" s="66">
        <f t="shared" si="168"/>
        <v>73821</v>
      </c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</row>
    <row r="331" spans="1:63" s="26" customFormat="1" ht="22.5" customHeight="1">
      <c r="A331" s="67" t="s">
        <v>101</v>
      </c>
      <c r="B331" s="68" t="s">
        <v>146</v>
      </c>
      <c r="C331" s="68" t="s">
        <v>158</v>
      </c>
      <c r="D331" s="69" t="s">
        <v>102</v>
      </c>
      <c r="E331" s="68"/>
      <c r="F331" s="70">
        <f t="shared" si="168"/>
        <v>90724</v>
      </c>
      <c r="G331" s="70">
        <f t="shared" si="168"/>
        <v>20756</v>
      </c>
      <c r="H331" s="70">
        <f t="shared" si="168"/>
        <v>111480</v>
      </c>
      <c r="I331" s="70">
        <f t="shared" si="168"/>
        <v>0</v>
      </c>
      <c r="J331" s="70">
        <f t="shared" si="168"/>
        <v>120990</v>
      </c>
      <c r="K331" s="70">
        <f t="shared" si="168"/>
        <v>0</v>
      </c>
      <c r="L331" s="70">
        <f t="shared" si="168"/>
        <v>0</v>
      </c>
      <c r="M331" s="70">
        <f t="shared" si="168"/>
        <v>120990</v>
      </c>
      <c r="N331" s="70">
        <f t="shared" si="168"/>
        <v>-44708</v>
      </c>
      <c r="O331" s="70">
        <f t="shared" si="168"/>
        <v>76282</v>
      </c>
      <c r="P331" s="70">
        <f t="shared" si="168"/>
        <v>0</v>
      </c>
      <c r="Q331" s="70">
        <f t="shared" si="168"/>
        <v>73821</v>
      </c>
      <c r="R331" s="70">
        <f t="shared" si="168"/>
        <v>0</v>
      </c>
      <c r="S331" s="70">
        <f t="shared" si="168"/>
        <v>0</v>
      </c>
      <c r="T331" s="70">
        <f t="shared" si="168"/>
        <v>76282</v>
      </c>
      <c r="U331" s="70">
        <f t="shared" si="168"/>
        <v>73821</v>
      </c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</row>
    <row r="332" spans="1:63" s="10" customFormat="1" ht="33">
      <c r="A332" s="67" t="s">
        <v>129</v>
      </c>
      <c r="B332" s="68" t="s">
        <v>146</v>
      </c>
      <c r="C332" s="68" t="s">
        <v>158</v>
      </c>
      <c r="D332" s="69" t="s">
        <v>102</v>
      </c>
      <c r="E332" s="68" t="s">
        <v>130</v>
      </c>
      <c r="F332" s="59">
        <v>90724</v>
      </c>
      <c r="G332" s="59">
        <f>H332-F332</f>
        <v>20756</v>
      </c>
      <c r="H332" s="59">
        <v>111480</v>
      </c>
      <c r="I332" s="59"/>
      <c r="J332" s="59">
        <v>120990</v>
      </c>
      <c r="K332" s="63"/>
      <c r="L332" s="63"/>
      <c r="M332" s="59">
        <v>120990</v>
      </c>
      <c r="N332" s="59">
        <f>O332-M332</f>
        <v>-44708</v>
      </c>
      <c r="O332" s="59">
        <v>76282</v>
      </c>
      <c r="P332" s="59"/>
      <c r="Q332" s="59">
        <v>73821</v>
      </c>
      <c r="R332" s="64"/>
      <c r="S332" s="64"/>
      <c r="T332" s="59">
        <f>O332+R332</f>
        <v>76282</v>
      </c>
      <c r="U332" s="59">
        <f>Q332+S332</f>
        <v>73821</v>
      </c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</row>
    <row r="333" spans="1:63" s="10" customFormat="1" ht="16.5">
      <c r="A333" s="67"/>
      <c r="B333" s="68"/>
      <c r="C333" s="68"/>
      <c r="D333" s="69"/>
      <c r="E333" s="68"/>
      <c r="F333" s="52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4"/>
      <c r="S333" s="64"/>
      <c r="T333" s="64"/>
      <c r="U333" s="64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</row>
    <row r="334" spans="1:63" s="10" customFormat="1" ht="18" customHeight="1">
      <c r="A334" s="53" t="s">
        <v>4</v>
      </c>
      <c r="B334" s="54" t="s">
        <v>146</v>
      </c>
      <c r="C334" s="54" t="s">
        <v>153</v>
      </c>
      <c r="D334" s="65"/>
      <c r="E334" s="54"/>
      <c r="F334" s="66">
        <f aca="true" t="shared" si="169" ref="F334:O334">F335+F337+F339+F341</f>
        <v>57972</v>
      </c>
      <c r="G334" s="66">
        <f t="shared" si="169"/>
        <v>2346</v>
      </c>
      <c r="H334" s="66">
        <f t="shared" si="169"/>
        <v>60318</v>
      </c>
      <c r="I334" s="66">
        <f t="shared" si="169"/>
        <v>0</v>
      </c>
      <c r="J334" s="66">
        <f t="shared" si="169"/>
        <v>51691</v>
      </c>
      <c r="K334" s="66">
        <f t="shared" si="169"/>
        <v>0</v>
      </c>
      <c r="L334" s="66">
        <f t="shared" si="169"/>
        <v>0</v>
      </c>
      <c r="M334" s="66">
        <f t="shared" si="169"/>
        <v>51691</v>
      </c>
      <c r="N334" s="66">
        <f t="shared" si="169"/>
        <v>5559</v>
      </c>
      <c r="O334" s="66">
        <f t="shared" si="169"/>
        <v>57250</v>
      </c>
      <c r="P334" s="66">
        <f aca="true" t="shared" si="170" ref="P334:U334">P335+P337+P339+P341</f>
        <v>0</v>
      </c>
      <c r="Q334" s="66">
        <f t="shared" si="170"/>
        <v>57250</v>
      </c>
      <c r="R334" s="66">
        <f t="shared" si="170"/>
        <v>1869</v>
      </c>
      <c r="S334" s="66">
        <f t="shared" si="170"/>
        <v>0</v>
      </c>
      <c r="T334" s="66">
        <f t="shared" si="170"/>
        <v>59119</v>
      </c>
      <c r="U334" s="66">
        <f t="shared" si="170"/>
        <v>57250</v>
      </c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</row>
    <row r="335" spans="1:63" s="10" customFormat="1" ht="53.25" customHeight="1">
      <c r="A335" s="67" t="s">
        <v>150</v>
      </c>
      <c r="B335" s="68" t="s">
        <v>146</v>
      </c>
      <c r="C335" s="68" t="s">
        <v>153</v>
      </c>
      <c r="D335" s="69" t="s">
        <v>5</v>
      </c>
      <c r="E335" s="68"/>
      <c r="F335" s="70">
        <f aca="true" t="shared" si="171" ref="F335:U335">F336</f>
        <v>6269</v>
      </c>
      <c r="G335" s="70">
        <f t="shared" si="171"/>
        <v>6880</v>
      </c>
      <c r="H335" s="70">
        <f t="shared" si="171"/>
        <v>13149</v>
      </c>
      <c r="I335" s="70">
        <f t="shared" si="171"/>
        <v>0</v>
      </c>
      <c r="J335" s="70">
        <f t="shared" si="171"/>
        <v>0</v>
      </c>
      <c r="K335" s="70">
        <f t="shared" si="171"/>
        <v>0</v>
      </c>
      <c r="L335" s="70">
        <f t="shared" si="171"/>
        <v>0</v>
      </c>
      <c r="M335" s="70">
        <f t="shared" si="171"/>
        <v>0</v>
      </c>
      <c r="N335" s="70">
        <f t="shared" si="171"/>
        <v>0</v>
      </c>
      <c r="O335" s="70">
        <f t="shared" si="171"/>
        <v>0</v>
      </c>
      <c r="P335" s="70">
        <f t="shared" si="171"/>
        <v>0</v>
      </c>
      <c r="Q335" s="70">
        <f t="shared" si="171"/>
        <v>0</v>
      </c>
      <c r="R335" s="70">
        <f t="shared" si="171"/>
        <v>1869</v>
      </c>
      <c r="S335" s="70">
        <f t="shared" si="171"/>
        <v>0</v>
      </c>
      <c r="T335" s="70">
        <f t="shared" si="171"/>
        <v>1869</v>
      </c>
      <c r="U335" s="70">
        <f t="shared" si="171"/>
        <v>0</v>
      </c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</row>
    <row r="336" spans="1:63" s="10" customFormat="1" ht="83.25" customHeight="1">
      <c r="A336" s="67" t="s">
        <v>256</v>
      </c>
      <c r="B336" s="68" t="s">
        <v>146</v>
      </c>
      <c r="C336" s="68" t="s">
        <v>153</v>
      </c>
      <c r="D336" s="69" t="s">
        <v>38</v>
      </c>
      <c r="E336" s="68" t="s">
        <v>151</v>
      </c>
      <c r="F336" s="59">
        <v>6269</v>
      </c>
      <c r="G336" s="59">
        <f>H336-F336</f>
        <v>6880</v>
      </c>
      <c r="H336" s="59">
        <v>13149</v>
      </c>
      <c r="I336" s="63"/>
      <c r="J336" s="63"/>
      <c r="K336" s="63"/>
      <c r="L336" s="63"/>
      <c r="M336" s="59"/>
      <c r="N336" s="59">
        <f>O336-M336</f>
        <v>0</v>
      </c>
      <c r="O336" s="59"/>
      <c r="P336" s="59"/>
      <c r="Q336" s="59"/>
      <c r="R336" s="59">
        <v>1869</v>
      </c>
      <c r="S336" s="59"/>
      <c r="T336" s="59">
        <f>O336+R336</f>
        <v>1869</v>
      </c>
      <c r="U336" s="59">
        <f>Q336+S336</f>
        <v>0</v>
      </c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</row>
    <row r="337" spans="1:63" s="10" customFormat="1" ht="33">
      <c r="A337" s="67" t="s">
        <v>107</v>
      </c>
      <c r="B337" s="68" t="s">
        <v>146</v>
      </c>
      <c r="C337" s="68" t="s">
        <v>153</v>
      </c>
      <c r="D337" s="69" t="s">
        <v>108</v>
      </c>
      <c r="E337" s="68"/>
      <c r="F337" s="70">
        <f aca="true" t="shared" si="172" ref="F337:U337">F338</f>
        <v>26085</v>
      </c>
      <c r="G337" s="70">
        <f t="shared" si="172"/>
        <v>1792</v>
      </c>
      <c r="H337" s="70">
        <f t="shared" si="172"/>
        <v>27877</v>
      </c>
      <c r="I337" s="70">
        <f t="shared" si="172"/>
        <v>0</v>
      </c>
      <c r="J337" s="70">
        <f t="shared" si="172"/>
        <v>31107</v>
      </c>
      <c r="K337" s="70">
        <f t="shared" si="172"/>
        <v>0</v>
      </c>
      <c r="L337" s="70">
        <f t="shared" si="172"/>
        <v>0</v>
      </c>
      <c r="M337" s="70">
        <f t="shared" si="172"/>
        <v>31107</v>
      </c>
      <c r="N337" s="70">
        <f t="shared" si="172"/>
        <v>25537</v>
      </c>
      <c r="O337" s="70">
        <f t="shared" si="172"/>
        <v>56644</v>
      </c>
      <c r="P337" s="70">
        <f t="shared" si="172"/>
        <v>0</v>
      </c>
      <c r="Q337" s="70">
        <f t="shared" si="172"/>
        <v>56644</v>
      </c>
      <c r="R337" s="70">
        <f t="shared" si="172"/>
        <v>0</v>
      </c>
      <c r="S337" s="70">
        <f t="shared" si="172"/>
        <v>0</v>
      </c>
      <c r="T337" s="70">
        <f t="shared" si="172"/>
        <v>56644</v>
      </c>
      <c r="U337" s="70">
        <f t="shared" si="172"/>
        <v>56644</v>
      </c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</row>
    <row r="338" spans="1:63" s="10" customFormat="1" ht="33">
      <c r="A338" s="67" t="s">
        <v>129</v>
      </c>
      <c r="B338" s="68" t="s">
        <v>146</v>
      </c>
      <c r="C338" s="68" t="s">
        <v>153</v>
      </c>
      <c r="D338" s="69" t="s">
        <v>108</v>
      </c>
      <c r="E338" s="68" t="s">
        <v>130</v>
      </c>
      <c r="F338" s="59">
        <v>26085</v>
      </c>
      <c r="G338" s="59">
        <f>H338-F338</f>
        <v>1792</v>
      </c>
      <c r="H338" s="59">
        <v>27877</v>
      </c>
      <c r="I338" s="59"/>
      <c r="J338" s="59">
        <v>31107</v>
      </c>
      <c r="K338" s="63"/>
      <c r="L338" s="63"/>
      <c r="M338" s="59">
        <v>31107</v>
      </c>
      <c r="N338" s="59">
        <f>O338-M338</f>
        <v>25537</v>
      </c>
      <c r="O338" s="59">
        <v>56644</v>
      </c>
      <c r="P338" s="59"/>
      <c r="Q338" s="59">
        <v>56644</v>
      </c>
      <c r="R338" s="64"/>
      <c r="S338" s="64"/>
      <c r="T338" s="59">
        <f>O338+R338</f>
        <v>56644</v>
      </c>
      <c r="U338" s="59">
        <f>Q338+S338</f>
        <v>56644</v>
      </c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</row>
    <row r="339" spans="1:63" s="10" customFormat="1" ht="33" hidden="1">
      <c r="A339" s="67" t="s">
        <v>109</v>
      </c>
      <c r="B339" s="68" t="s">
        <v>146</v>
      </c>
      <c r="C339" s="68" t="s">
        <v>153</v>
      </c>
      <c r="D339" s="69" t="s">
        <v>110</v>
      </c>
      <c r="E339" s="68"/>
      <c r="F339" s="70">
        <f aca="true" t="shared" si="173" ref="F339:Q339">F340</f>
        <v>23949</v>
      </c>
      <c r="G339" s="70">
        <f t="shared" si="173"/>
        <v>-6765</v>
      </c>
      <c r="H339" s="70">
        <f t="shared" si="173"/>
        <v>17184</v>
      </c>
      <c r="I339" s="70">
        <f t="shared" si="173"/>
        <v>0</v>
      </c>
      <c r="J339" s="70">
        <f t="shared" si="173"/>
        <v>18327</v>
      </c>
      <c r="K339" s="70">
        <f t="shared" si="173"/>
        <v>0</v>
      </c>
      <c r="L339" s="70">
        <f t="shared" si="173"/>
        <v>0</v>
      </c>
      <c r="M339" s="70">
        <f t="shared" si="173"/>
        <v>18327</v>
      </c>
      <c r="N339" s="70">
        <f t="shared" si="173"/>
        <v>-18327</v>
      </c>
      <c r="O339" s="70">
        <f t="shared" si="173"/>
        <v>0</v>
      </c>
      <c r="P339" s="70">
        <f t="shared" si="173"/>
        <v>0</v>
      </c>
      <c r="Q339" s="70">
        <f t="shared" si="173"/>
        <v>0</v>
      </c>
      <c r="R339" s="64"/>
      <c r="S339" s="64"/>
      <c r="T339" s="64"/>
      <c r="U339" s="64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</row>
    <row r="340" spans="1:63" s="10" customFormat="1" ht="51" customHeight="1" hidden="1">
      <c r="A340" s="67" t="s">
        <v>137</v>
      </c>
      <c r="B340" s="68" t="s">
        <v>146</v>
      </c>
      <c r="C340" s="68" t="s">
        <v>153</v>
      </c>
      <c r="D340" s="69" t="s">
        <v>6</v>
      </c>
      <c r="E340" s="68" t="s">
        <v>138</v>
      </c>
      <c r="F340" s="59">
        <v>23949</v>
      </c>
      <c r="G340" s="59">
        <f>H340-F340</f>
        <v>-6765</v>
      </c>
      <c r="H340" s="59">
        <v>17184</v>
      </c>
      <c r="I340" s="59"/>
      <c r="J340" s="59">
        <v>18327</v>
      </c>
      <c r="K340" s="63"/>
      <c r="L340" s="63"/>
      <c r="M340" s="59">
        <v>18327</v>
      </c>
      <c r="N340" s="59">
        <f>O340-M340</f>
        <v>-18327</v>
      </c>
      <c r="O340" s="59"/>
      <c r="P340" s="59"/>
      <c r="Q340" s="59"/>
      <c r="R340" s="64"/>
      <c r="S340" s="64"/>
      <c r="T340" s="64"/>
      <c r="U340" s="64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</row>
    <row r="341" spans="1:63" s="10" customFormat="1" ht="23.25" customHeight="1">
      <c r="A341" s="67" t="s">
        <v>121</v>
      </c>
      <c r="B341" s="68" t="s">
        <v>146</v>
      </c>
      <c r="C341" s="68" t="s">
        <v>153</v>
      </c>
      <c r="D341" s="69" t="s">
        <v>123</v>
      </c>
      <c r="E341" s="68"/>
      <c r="F341" s="70">
        <f aca="true" t="shared" si="174" ref="F341:M341">F342+F343</f>
        <v>1669</v>
      </c>
      <c r="G341" s="70">
        <f t="shared" si="174"/>
        <v>439</v>
      </c>
      <c r="H341" s="70">
        <f t="shared" si="174"/>
        <v>2108</v>
      </c>
      <c r="I341" s="70">
        <f t="shared" si="174"/>
        <v>0</v>
      </c>
      <c r="J341" s="70">
        <f t="shared" si="174"/>
        <v>2257</v>
      </c>
      <c r="K341" s="70">
        <f t="shared" si="174"/>
        <v>0</v>
      </c>
      <c r="L341" s="70">
        <f t="shared" si="174"/>
        <v>0</v>
      </c>
      <c r="M341" s="70">
        <f t="shared" si="174"/>
        <v>2257</v>
      </c>
      <c r="N341" s="70">
        <f aca="true" t="shared" si="175" ref="N341:U341">N342+N343+N344</f>
        <v>-1651</v>
      </c>
      <c r="O341" s="70">
        <f t="shared" si="175"/>
        <v>606</v>
      </c>
      <c r="P341" s="70">
        <f t="shared" si="175"/>
        <v>0</v>
      </c>
      <c r="Q341" s="70">
        <f t="shared" si="175"/>
        <v>606</v>
      </c>
      <c r="R341" s="70">
        <f t="shared" si="175"/>
        <v>0</v>
      </c>
      <c r="S341" s="70">
        <f t="shared" si="175"/>
        <v>0</v>
      </c>
      <c r="T341" s="70">
        <f t="shared" si="175"/>
        <v>606</v>
      </c>
      <c r="U341" s="70">
        <f t="shared" si="175"/>
        <v>606</v>
      </c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</row>
    <row r="342" spans="1:63" s="10" customFormat="1" ht="51.75" customHeight="1" hidden="1">
      <c r="A342" s="67" t="s">
        <v>137</v>
      </c>
      <c r="B342" s="68" t="s">
        <v>146</v>
      </c>
      <c r="C342" s="68" t="s">
        <v>153</v>
      </c>
      <c r="D342" s="69" t="s">
        <v>122</v>
      </c>
      <c r="E342" s="68" t="s">
        <v>138</v>
      </c>
      <c r="F342" s="59">
        <v>214</v>
      </c>
      <c r="G342" s="59">
        <f>H342-F342</f>
        <v>225</v>
      </c>
      <c r="H342" s="60">
        <v>439</v>
      </c>
      <c r="I342" s="60"/>
      <c r="J342" s="60">
        <v>470</v>
      </c>
      <c r="K342" s="63"/>
      <c r="L342" s="63"/>
      <c r="M342" s="59">
        <v>470</v>
      </c>
      <c r="N342" s="59">
        <f>O342-M342</f>
        <v>-470</v>
      </c>
      <c r="O342" s="59"/>
      <c r="P342" s="59"/>
      <c r="Q342" s="59"/>
      <c r="R342" s="59"/>
      <c r="S342" s="59"/>
      <c r="T342" s="59"/>
      <c r="U342" s="5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</row>
    <row r="343" spans="1:63" s="10" customFormat="1" ht="16.5" hidden="1">
      <c r="A343" s="67" t="s">
        <v>10</v>
      </c>
      <c r="B343" s="68" t="s">
        <v>146</v>
      </c>
      <c r="C343" s="68" t="s">
        <v>153</v>
      </c>
      <c r="D343" s="69" t="s">
        <v>122</v>
      </c>
      <c r="E343" s="68" t="s">
        <v>17</v>
      </c>
      <c r="F343" s="59">
        <v>1455</v>
      </c>
      <c r="G343" s="59">
        <f>H343-F343</f>
        <v>214</v>
      </c>
      <c r="H343" s="59">
        <v>1669</v>
      </c>
      <c r="I343" s="59"/>
      <c r="J343" s="59">
        <v>1787</v>
      </c>
      <c r="K343" s="63"/>
      <c r="L343" s="63"/>
      <c r="M343" s="59">
        <v>1787</v>
      </c>
      <c r="N343" s="59">
        <f>O343-M343</f>
        <v>-1787</v>
      </c>
      <c r="O343" s="59"/>
      <c r="P343" s="59"/>
      <c r="Q343" s="59"/>
      <c r="R343" s="59"/>
      <c r="S343" s="59"/>
      <c r="T343" s="59"/>
      <c r="U343" s="5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</row>
    <row r="344" spans="1:63" s="10" customFormat="1" ht="82.5">
      <c r="A344" s="67" t="s">
        <v>283</v>
      </c>
      <c r="B344" s="68" t="s">
        <v>146</v>
      </c>
      <c r="C344" s="68" t="s">
        <v>153</v>
      </c>
      <c r="D344" s="69" t="s">
        <v>281</v>
      </c>
      <c r="E344" s="68"/>
      <c r="F344" s="59"/>
      <c r="G344" s="59"/>
      <c r="H344" s="59"/>
      <c r="I344" s="59"/>
      <c r="J344" s="59"/>
      <c r="K344" s="63"/>
      <c r="L344" s="63"/>
      <c r="M344" s="59"/>
      <c r="N344" s="59">
        <f>N345</f>
        <v>606</v>
      </c>
      <c r="O344" s="59">
        <f aca="true" t="shared" si="176" ref="O344:U345">O345</f>
        <v>606</v>
      </c>
      <c r="P344" s="59">
        <f t="shared" si="176"/>
        <v>0</v>
      </c>
      <c r="Q344" s="59">
        <f t="shared" si="176"/>
        <v>606</v>
      </c>
      <c r="R344" s="59">
        <f t="shared" si="176"/>
        <v>0</v>
      </c>
      <c r="S344" s="59">
        <f t="shared" si="176"/>
        <v>0</v>
      </c>
      <c r="T344" s="59">
        <f t="shared" si="176"/>
        <v>606</v>
      </c>
      <c r="U344" s="59">
        <f t="shared" si="176"/>
        <v>606</v>
      </c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</row>
    <row r="345" spans="1:63" s="10" customFormat="1" ht="51.75" customHeight="1">
      <c r="A345" s="67" t="s">
        <v>284</v>
      </c>
      <c r="B345" s="68" t="s">
        <v>146</v>
      </c>
      <c r="C345" s="68" t="s">
        <v>153</v>
      </c>
      <c r="D345" s="69" t="s">
        <v>282</v>
      </c>
      <c r="E345" s="68"/>
      <c r="F345" s="59"/>
      <c r="G345" s="59"/>
      <c r="H345" s="59"/>
      <c r="I345" s="59"/>
      <c r="J345" s="59"/>
      <c r="K345" s="63"/>
      <c r="L345" s="63"/>
      <c r="M345" s="59"/>
      <c r="N345" s="59">
        <f>N346</f>
        <v>606</v>
      </c>
      <c r="O345" s="59">
        <f t="shared" si="176"/>
        <v>606</v>
      </c>
      <c r="P345" s="59">
        <f t="shared" si="176"/>
        <v>0</v>
      </c>
      <c r="Q345" s="59">
        <f t="shared" si="176"/>
        <v>606</v>
      </c>
      <c r="R345" s="59">
        <f t="shared" si="176"/>
        <v>0</v>
      </c>
      <c r="S345" s="59">
        <f t="shared" si="176"/>
        <v>0</v>
      </c>
      <c r="T345" s="59">
        <f t="shared" si="176"/>
        <v>606</v>
      </c>
      <c r="U345" s="59">
        <f t="shared" si="176"/>
        <v>606</v>
      </c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</row>
    <row r="346" spans="1:63" s="10" customFormat="1" ht="16.5">
      <c r="A346" s="67" t="s">
        <v>10</v>
      </c>
      <c r="B346" s="68" t="s">
        <v>146</v>
      </c>
      <c r="C346" s="68" t="s">
        <v>153</v>
      </c>
      <c r="D346" s="69" t="s">
        <v>282</v>
      </c>
      <c r="E346" s="68" t="s">
        <v>17</v>
      </c>
      <c r="F346" s="59"/>
      <c r="G346" s="59"/>
      <c r="H346" s="59"/>
      <c r="I346" s="59"/>
      <c r="J346" s="59"/>
      <c r="K346" s="63"/>
      <c r="L346" s="63"/>
      <c r="M346" s="59"/>
      <c r="N346" s="59">
        <f>O346-M346</f>
        <v>606</v>
      </c>
      <c r="O346" s="59">
        <v>606</v>
      </c>
      <c r="P346" s="59"/>
      <c r="Q346" s="59">
        <v>606</v>
      </c>
      <c r="R346" s="64"/>
      <c r="S346" s="64"/>
      <c r="T346" s="59">
        <f>O346+R346</f>
        <v>606</v>
      </c>
      <c r="U346" s="59">
        <f>Q346+S346</f>
        <v>606</v>
      </c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</row>
    <row r="347" spans="1:63" s="10" customFormat="1" ht="16.5">
      <c r="A347" s="67"/>
      <c r="B347" s="68"/>
      <c r="C347" s="68"/>
      <c r="D347" s="69"/>
      <c r="E347" s="68"/>
      <c r="F347" s="52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4"/>
      <c r="S347" s="64"/>
      <c r="T347" s="64"/>
      <c r="U347" s="64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</row>
    <row r="348" spans="1:63" s="16" customFormat="1" ht="56.25">
      <c r="A348" s="53" t="s">
        <v>2</v>
      </c>
      <c r="B348" s="54" t="s">
        <v>146</v>
      </c>
      <c r="C348" s="54" t="s">
        <v>3</v>
      </c>
      <c r="D348" s="65"/>
      <c r="E348" s="54"/>
      <c r="F348" s="66">
        <f>F349+F351</f>
        <v>229448</v>
      </c>
      <c r="G348" s="66">
        <f aca="true" t="shared" si="177" ref="G348:O348">G349+G351+G353</f>
        <v>-114217</v>
      </c>
      <c r="H348" s="66">
        <f t="shared" si="177"/>
        <v>115231</v>
      </c>
      <c r="I348" s="66">
        <f t="shared" si="177"/>
        <v>0</v>
      </c>
      <c r="J348" s="66">
        <f t="shared" si="177"/>
        <v>123866</v>
      </c>
      <c r="K348" s="66">
        <f t="shared" si="177"/>
        <v>0</v>
      </c>
      <c r="L348" s="66">
        <f t="shared" si="177"/>
        <v>0</v>
      </c>
      <c r="M348" s="66">
        <f t="shared" si="177"/>
        <v>123866</v>
      </c>
      <c r="N348" s="66">
        <f t="shared" si="177"/>
        <v>-50730</v>
      </c>
      <c r="O348" s="66">
        <f t="shared" si="177"/>
        <v>73136</v>
      </c>
      <c r="P348" s="66">
        <f aca="true" t="shared" si="178" ref="P348:U348">P349+P351+P353</f>
        <v>0</v>
      </c>
      <c r="Q348" s="66">
        <f t="shared" si="178"/>
        <v>67915</v>
      </c>
      <c r="R348" s="66">
        <f t="shared" si="178"/>
        <v>0</v>
      </c>
      <c r="S348" s="66">
        <f t="shared" si="178"/>
        <v>0</v>
      </c>
      <c r="T348" s="66">
        <f t="shared" si="178"/>
        <v>73136</v>
      </c>
      <c r="U348" s="66">
        <f t="shared" si="178"/>
        <v>67915</v>
      </c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</row>
    <row r="349" spans="1:63" s="24" customFormat="1" ht="35.25" customHeight="1">
      <c r="A349" s="67" t="s">
        <v>96</v>
      </c>
      <c r="B349" s="68" t="s">
        <v>146</v>
      </c>
      <c r="C349" s="68" t="s">
        <v>3</v>
      </c>
      <c r="D349" s="69" t="s">
        <v>97</v>
      </c>
      <c r="E349" s="68"/>
      <c r="F349" s="70">
        <f aca="true" t="shared" si="179" ref="F349:U349">F350</f>
        <v>187028</v>
      </c>
      <c r="G349" s="70">
        <f t="shared" si="179"/>
        <v>-135458</v>
      </c>
      <c r="H349" s="70">
        <f t="shared" si="179"/>
        <v>51570</v>
      </c>
      <c r="I349" s="70">
        <f t="shared" si="179"/>
        <v>0</v>
      </c>
      <c r="J349" s="70">
        <f t="shared" si="179"/>
        <v>55314</v>
      </c>
      <c r="K349" s="70">
        <f t="shared" si="179"/>
        <v>0</v>
      </c>
      <c r="L349" s="70">
        <f t="shared" si="179"/>
        <v>0</v>
      </c>
      <c r="M349" s="70">
        <f t="shared" si="179"/>
        <v>55314</v>
      </c>
      <c r="N349" s="70">
        <f t="shared" si="179"/>
        <v>-23136</v>
      </c>
      <c r="O349" s="70">
        <f t="shared" si="179"/>
        <v>32178</v>
      </c>
      <c r="P349" s="70">
        <f t="shared" si="179"/>
        <v>0</v>
      </c>
      <c r="Q349" s="70">
        <f t="shared" si="179"/>
        <v>27969</v>
      </c>
      <c r="R349" s="70">
        <f t="shared" si="179"/>
        <v>0</v>
      </c>
      <c r="S349" s="70">
        <f t="shared" si="179"/>
        <v>0</v>
      </c>
      <c r="T349" s="70">
        <f t="shared" si="179"/>
        <v>32178</v>
      </c>
      <c r="U349" s="70">
        <f t="shared" si="179"/>
        <v>27969</v>
      </c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</row>
    <row r="350" spans="1:63" s="16" customFormat="1" ht="36.75" customHeight="1">
      <c r="A350" s="67" t="s">
        <v>129</v>
      </c>
      <c r="B350" s="68" t="s">
        <v>146</v>
      </c>
      <c r="C350" s="68" t="s">
        <v>3</v>
      </c>
      <c r="D350" s="69" t="s">
        <v>97</v>
      </c>
      <c r="E350" s="68" t="s">
        <v>130</v>
      </c>
      <c r="F350" s="59">
        <v>187028</v>
      </c>
      <c r="G350" s="59">
        <f>H350-F350</f>
        <v>-135458</v>
      </c>
      <c r="H350" s="59">
        <v>51570</v>
      </c>
      <c r="I350" s="59"/>
      <c r="J350" s="59">
        <v>55314</v>
      </c>
      <c r="K350" s="60"/>
      <c r="L350" s="60"/>
      <c r="M350" s="59">
        <v>55314</v>
      </c>
      <c r="N350" s="59">
        <f>O350-M350</f>
        <v>-23136</v>
      </c>
      <c r="O350" s="59">
        <v>32178</v>
      </c>
      <c r="P350" s="59"/>
      <c r="Q350" s="59">
        <v>27969</v>
      </c>
      <c r="R350" s="61"/>
      <c r="S350" s="61"/>
      <c r="T350" s="59">
        <f>O350+R350</f>
        <v>32178</v>
      </c>
      <c r="U350" s="59">
        <f>Q350+S350</f>
        <v>27969</v>
      </c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</row>
    <row r="351" spans="1:63" s="10" customFormat="1" ht="21.75" customHeight="1">
      <c r="A351" s="67" t="s">
        <v>105</v>
      </c>
      <c r="B351" s="68" t="s">
        <v>146</v>
      </c>
      <c r="C351" s="68" t="s">
        <v>3</v>
      </c>
      <c r="D351" s="69" t="s">
        <v>106</v>
      </c>
      <c r="E351" s="68"/>
      <c r="F351" s="70">
        <f aca="true" t="shared" si="180" ref="F351:U351">F352</f>
        <v>42420</v>
      </c>
      <c r="G351" s="70">
        <f t="shared" si="180"/>
        <v>8013</v>
      </c>
      <c r="H351" s="70">
        <f t="shared" si="180"/>
        <v>50433</v>
      </c>
      <c r="I351" s="70">
        <f t="shared" si="180"/>
        <v>0</v>
      </c>
      <c r="J351" s="70">
        <f t="shared" si="180"/>
        <v>54197</v>
      </c>
      <c r="K351" s="70">
        <f t="shared" si="180"/>
        <v>0</v>
      </c>
      <c r="L351" s="70">
        <f t="shared" si="180"/>
        <v>0</v>
      </c>
      <c r="M351" s="70">
        <f t="shared" si="180"/>
        <v>54197</v>
      </c>
      <c r="N351" s="70">
        <f t="shared" si="180"/>
        <v>-13239</v>
      </c>
      <c r="O351" s="70">
        <f t="shared" si="180"/>
        <v>40958</v>
      </c>
      <c r="P351" s="70">
        <f t="shared" si="180"/>
        <v>0</v>
      </c>
      <c r="Q351" s="70">
        <f t="shared" si="180"/>
        <v>39946</v>
      </c>
      <c r="R351" s="70">
        <f t="shared" si="180"/>
        <v>0</v>
      </c>
      <c r="S351" s="70">
        <f t="shared" si="180"/>
        <v>0</v>
      </c>
      <c r="T351" s="70">
        <f t="shared" si="180"/>
        <v>40958</v>
      </c>
      <c r="U351" s="70">
        <f t="shared" si="180"/>
        <v>39946</v>
      </c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</row>
    <row r="352" spans="1:63" s="16" customFormat="1" ht="36" customHeight="1">
      <c r="A352" s="67" t="s">
        <v>129</v>
      </c>
      <c r="B352" s="68" t="s">
        <v>146</v>
      </c>
      <c r="C352" s="68" t="s">
        <v>3</v>
      </c>
      <c r="D352" s="69" t="s">
        <v>106</v>
      </c>
      <c r="E352" s="68" t="s">
        <v>130</v>
      </c>
      <c r="F352" s="59">
        <v>42420</v>
      </c>
      <c r="G352" s="59">
        <f>H352-F352</f>
        <v>8013</v>
      </c>
      <c r="H352" s="59">
        <v>50433</v>
      </c>
      <c r="I352" s="59"/>
      <c r="J352" s="59">
        <v>54197</v>
      </c>
      <c r="K352" s="60"/>
      <c r="L352" s="60"/>
      <c r="M352" s="59">
        <v>54197</v>
      </c>
      <c r="N352" s="59">
        <f>O352-M352</f>
        <v>-13239</v>
      </c>
      <c r="O352" s="59">
        <v>40958</v>
      </c>
      <c r="P352" s="59"/>
      <c r="Q352" s="59">
        <v>39946</v>
      </c>
      <c r="R352" s="61"/>
      <c r="S352" s="61"/>
      <c r="T352" s="59">
        <f>O352+R352</f>
        <v>40958</v>
      </c>
      <c r="U352" s="59">
        <f>Q352+S352</f>
        <v>39946</v>
      </c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</row>
    <row r="353" spans="1:63" s="16" customFormat="1" ht="17.25" customHeight="1" hidden="1">
      <c r="A353" s="67" t="s">
        <v>121</v>
      </c>
      <c r="B353" s="68" t="s">
        <v>146</v>
      </c>
      <c r="C353" s="68" t="s">
        <v>3</v>
      </c>
      <c r="D353" s="69" t="s">
        <v>123</v>
      </c>
      <c r="E353" s="68"/>
      <c r="F353" s="59"/>
      <c r="G353" s="59">
        <f aca="true" t="shared" si="181" ref="G353:Q353">G354</f>
        <v>13228</v>
      </c>
      <c r="H353" s="59">
        <f t="shared" si="181"/>
        <v>13228</v>
      </c>
      <c r="I353" s="59">
        <f t="shared" si="181"/>
        <v>0</v>
      </c>
      <c r="J353" s="59">
        <f t="shared" si="181"/>
        <v>14355</v>
      </c>
      <c r="K353" s="59">
        <f t="shared" si="181"/>
        <v>0</v>
      </c>
      <c r="L353" s="59">
        <f t="shared" si="181"/>
        <v>0</v>
      </c>
      <c r="M353" s="59">
        <f t="shared" si="181"/>
        <v>14355</v>
      </c>
      <c r="N353" s="59">
        <f t="shared" si="181"/>
        <v>-14355</v>
      </c>
      <c r="O353" s="59">
        <f t="shared" si="181"/>
        <v>0</v>
      </c>
      <c r="P353" s="59">
        <f t="shared" si="181"/>
        <v>0</v>
      </c>
      <c r="Q353" s="59">
        <f t="shared" si="181"/>
        <v>0</v>
      </c>
      <c r="R353" s="61"/>
      <c r="S353" s="61"/>
      <c r="T353" s="61"/>
      <c r="U353" s="61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</row>
    <row r="354" spans="1:63" s="16" customFormat="1" ht="51.75" customHeight="1" hidden="1">
      <c r="A354" s="67" t="s">
        <v>137</v>
      </c>
      <c r="B354" s="68" t="s">
        <v>146</v>
      </c>
      <c r="C354" s="68" t="s">
        <v>3</v>
      </c>
      <c r="D354" s="69" t="s">
        <v>122</v>
      </c>
      <c r="E354" s="68" t="s">
        <v>138</v>
      </c>
      <c r="F354" s="59"/>
      <c r="G354" s="59">
        <f>H354-F354</f>
        <v>13228</v>
      </c>
      <c r="H354" s="59">
        <v>13228</v>
      </c>
      <c r="I354" s="59"/>
      <c r="J354" s="59">
        <v>14355</v>
      </c>
      <c r="K354" s="60"/>
      <c r="L354" s="60"/>
      <c r="M354" s="59">
        <v>14355</v>
      </c>
      <c r="N354" s="59">
        <f>O354-M354</f>
        <v>-14355</v>
      </c>
      <c r="O354" s="59"/>
      <c r="P354" s="59"/>
      <c r="Q354" s="59"/>
      <c r="R354" s="61"/>
      <c r="S354" s="61"/>
      <c r="T354" s="61"/>
      <c r="U354" s="61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</row>
    <row r="355" spans="1:21" ht="15.75">
      <c r="A355" s="126"/>
      <c r="B355" s="84"/>
      <c r="C355" s="84"/>
      <c r="D355" s="85"/>
      <c r="E355" s="84"/>
      <c r="F355" s="45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</row>
    <row r="356" spans="1:63" s="8" customFormat="1" ht="20.25">
      <c r="A356" s="48" t="s">
        <v>111</v>
      </c>
      <c r="B356" s="49" t="s">
        <v>112</v>
      </c>
      <c r="C356" s="49"/>
      <c r="D356" s="50"/>
      <c r="E356" s="49"/>
      <c r="F356" s="87">
        <f aca="true" t="shared" si="182" ref="F356:O356">F358+F364+F370+F386</f>
        <v>261856</v>
      </c>
      <c r="G356" s="87">
        <f t="shared" si="182"/>
        <v>108248</v>
      </c>
      <c r="H356" s="87">
        <f t="shared" si="182"/>
        <v>370104</v>
      </c>
      <c r="I356" s="87">
        <f t="shared" si="182"/>
        <v>0</v>
      </c>
      <c r="J356" s="87">
        <f t="shared" si="182"/>
        <v>272117</v>
      </c>
      <c r="K356" s="87">
        <f t="shared" si="182"/>
        <v>0</v>
      </c>
      <c r="L356" s="87">
        <f t="shared" si="182"/>
        <v>0</v>
      </c>
      <c r="M356" s="87">
        <f t="shared" si="182"/>
        <v>272117</v>
      </c>
      <c r="N356" s="87">
        <f t="shared" si="182"/>
        <v>-136780</v>
      </c>
      <c r="O356" s="87">
        <f t="shared" si="182"/>
        <v>135337</v>
      </c>
      <c r="P356" s="87">
        <f aca="true" t="shared" si="183" ref="P356:U356">P358+P364+P370+P386</f>
        <v>0</v>
      </c>
      <c r="Q356" s="87">
        <f t="shared" si="183"/>
        <v>135152</v>
      </c>
      <c r="R356" s="87">
        <f t="shared" si="183"/>
        <v>0</v>
      </c>
      <c r="S356" s="87">
        <f t="shared" si="183"/>
        <v>0</v>
      </c>
      <c r="T356" s="87">
        <f t="shared" si="183"/>
        <v>135337</v>
      </c>
      <c r="U356" s="87">
        <f t="shared" si="183"/>
        <v>135152</v>
      </c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</row>
    <row r="357" spans="1:63" s="8" customFormat="1" ht="20.25">
      <c r="A357" s="48"/>
      <c r="B357" s="49"/>
      <c r="C357" s="49"/>
      <c r="D357" s="50"/>
      <c r="E357" s="49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</row>
    <row r="358" spans="1:63" s="8" customFormat="1" ht="20.25">
      <c r="A358" s="53" t="s">
        <v>172</v>
      </c>
      <c r="B358" s="54" t="s">
        <v>3</v>
      </c>
      <c r="C358" s="54" t="s">
        <v>127</v>
      </c>
      <c r="D358" s="50"/>
      <c r="E358" s="49"/>
      <c r="F358" s="127">
        <f aca="true" t="shared" si="184" ref="F358:U359">F359</f>
        <v>19352</v>
      </c>
      <c r="G358" s="127">
        <f t="shared" si="184"/>
        <v>11045</v>
      </c>
      <c r="H358" s="127">
        <f t="shared" si="184"/>
        <v>30397</v>
      </c>
      <c r="I358" s="127">
        <f t="shared" si="184"/>
        <v>0</v>
      </c>
      <c r="J358" s="127">
        <f t="shared" si="184"/>
        <v>36394</v>
      </c>
      <c r="K358" s="127">
        <f t="shared" si="184"/>
        <v>0</v>
      </c>
      <c r="L358" s="127">
        <f t="shared" si="184"/>
        <v>0</v>
      </c>
      <c r="M358" s="127">
        <f aca="true" t="shared" si="185" ref="M358:U358">M359+M361</f>
        <v>36394</v>
      </c>
      <c r="N358" s="127">
        <f t="shared" si="185"/>
        <v>-8559</v>
      </c>
      <c r="O358" s="127">
        <f t="shared" si="185"/>
        <v>27835</v>
      </c>
      <c r="P358" s="127">
        <f t="shared" si="185"/>
        <v>0</v>
      </c>
      <c r="Q358" s="127">
        <f t="shared" si="185"/>
        <v>27835</v>
      </c>
      <c r="R358" s="127">
        <f t="shared" si="185"/>
        <v>0</v>
      </c>
      <c r="S358" s="127">
        <f t="shared" si="185"/>
        <v>0</v>
      </c>
      <c r="T358" s="127">
        <f t="shared" si="185"/>
        <v>27835</v>
      </c>
      <c r="U358" s="127">
        <f t="shared" si="185"/>
        <v>27835</v>
      </c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</row>
    <row r="359" spans="1:63" s="8" customFormat="1" ht="40.5" customHeight="1" hidden="1">
      <c r="A359" s="67" t="s">
        <v>173</v>
      </c>
      <c r="B359" s="68" t="s">
        <v>3</v>
      </c>
      <c r="C359" s="68" t="s">
        <v>127</v>
      </c>
      <c r="D359" s="102" t="s">
        <v>197</v>
      </c>
      <c r="E359" s="49"/>
      <c r="F359" s="119">
        <f t="shared" si="184"/>
        <v>19352</v>
      </c>
      <c r="G359" s="119">
        <f t="shared" si="184"/>
        <v>11045</v>
      </c>
      <c r="H359" s="119">
        <f t="shared" si="184"/>
        <v>30397</v>
      </c>
      <c r="I359" s="119">
        <f t="shared" si="184"/>
        <v>0</v>
      </c>
      <c r="J359" s="119">
        <f t="shared" si="184"/>
        <v>36394</v>
      </c>
      <c r="K359" s="119">
        <f t="shared" si="184"/>
        <v>0</v>
      </c>
      <c r="L359" s="119">
        <f t="shared" si="184"/>
        <v>0</v>
      </c>
      <c r="M359" s="119">
        <f t="shared" si="184"/>
        <v>36394</v>
      </c>
      <c r="N359" s="119">
        <f t="shared" si="184"/>
        <v>-36394</v>
      </c>
      <c r="O359" s="119">
        <f t="shared" si="184"/>
        <v>0</v>
      </c>
      <c r="P359" s="119">
        <f t="shared" si="184"/>
        <v>0</v>
      </c>
      <c r="Q359" s="119">
        <f t="shared" si="184"/>
        <v>0</v>
      </c>
      <c r="R359" s="119">
        <f t="shared" si="184"/>
        <v>0</v>
      </c>
      <c r="S359" s="119">
        <f t="shared" si="184"/>
        <v>0</v>
      </c>
      <c r="T359" s="119">
        <f t="shared" si="184"/>
        <v>0</v>
      </c>
      <c r="U359" s="119">
        <f t="shared" si="184"/>
        <v>0</v>
      </c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</row>
    <row r="360" spans="1:63" s="8" customFormat="1" ht="20.25" hidden="1">
      <c r="A360" s="67" t="s">
        <v>10</v>
      </c>
      <c r="B360" s="68" t="s">
        <v>3</v>
      </c>
      <c r="C360" s="68" t="s">
        <v>127</v>
      </c>
      <c r="D360" s="102" t="s">
        <v>197</v>
      </c>
      <c r="E360" s="68" t="s">
        <v>17</v>
      </c>
      <c r="F360" s="59">
        <v>19352</v>
      </c>
      <c r="G360" s="59">
        <f>H360-F360</f>
        <v>11045</v>
      </c>
      <c r="H360" s="75">
        <v>30397</v>
      </c>
      <c r="I360" s="75"/>
      <c r="J360" s="75">
        <v>36394</v>
      </c>
      <c r="K360" s="123"/>
      <c r="L360" s="123"/>
      <c r="M360" s="59">
        <v>36394</v>
      </c>
      <c r="N360" s="59">
        <f>O360-M360</f>
        <v>-36394</v>
      </c>
      <c r="O360" s="59"/>
      <c r="P360" s="59"/>
      <c r="Q360" s="59"/>
      <c r="R360" s="59"/>
      <c r="S360" s="59"/>
      <c r="T360" s="59"/>
      <c r="U360" s="59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</row>
    <row r="361" spans="1:63" s="8" customFormat="1" ht="33.75" customHeight="1">
      <c r="A361" s="67" t="s">
        <v>173</v>
      </c>
      <c r="B361" s="68" t="s">
        <v>3</v>
      </c>
      <c r="C361" s="68" t="s">
        <v>127</v>
      </c>
      <c r="D361" s="102" t="s">
        <v>265</v>
      </c>
      <c r="E361" s="68"/>
      <c r="F361" s="59"/>
      <c r="G361" s="59"/>
      <c r="H361" s="75"/>
      <c r="I361" s="75"/>
      <c r="J361" s="75"/>
      <c r="K361" s="123"/>
      <c r="L361" s="123"/>
      <c r="M361" s="59">
        <f aca="true" t="shared" si="186" ref="M361:U361">M362</f>
        <v>0</v>
      </c>
      <c r="N361" s="59">
        <f t="shared" si="186"/>
        <v>27835</v>
      </c>
      <c r="O361" s="59">
        <f t="shared" si="186"/>
        <v>27835</v>
      </c>
      <c r="P361" s="59">
        <f t="shared" si="186"/>
        <v>0</v>
      </c>
      <c r="Q361" s="59">
        <f t="shared" si="186"/>
        <v>27835</v>
      </c>
      <c r="R361" s="59">
        <f t="shared" si="186"/>
        <v>0</v>
      </c>
      <c r="S361" s="59">
        <f t="shared" si="186"/>
        <v>0</v>
      </c>
      <c r="T361" s="59">
        <f t="shared" si="186"/>
        <v>27835</v>
      </c>
      <c r="U361" s="59">
        <f t="shared" si="186"/>
        <v>27835</v>
      </c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</row>
    <row r="362" spans="1:63" s="8" customFormat="1" ht="24" customHeight="1">
      <c r="A362" s="67" t="s">
        <v>10</v>
      </c>
      <c r="B362" s="68" t="s">
        <v>3</v>
      </c>
      <c r="C362" s="68" t="s">
        <v>127</v>
      </c>
      <c r="D362" s="102" t="s">
        <v>265</v>
      </c>
      <c r="E362" s="68" t="s">
        <v>17</v>
      </c>
      <c r="F362" s="59"/>
      <c r="G362" s="59"/>
      <c r="H362" s="75"/>
      <c r="I362" s="75"/>
      <c r="J362" s="75"/>
      <c r="K362" s="123"/>
      <c r="L362" s="123"/>
      <c r="M362" s="59"/>
      <c r="N362" s="59">
        <f>O362-M362</f>
        <v>27835</v>
      </c>
      <c r="O362" s="59">
        <v>27835</v>
      </c>
      <c r="P362" s="59"/>
      <c r="Q362" s="59">
        <v>27835</v>
      </c>
      <c r="R362" s="117"/>
      <c r="S362" s="117"/>
      <c r="T362" s="59">
        <f>O362+R362</f>
        <v>27835</v>
      </c>
      <c r="U362" s="59">
        <f>Q362+S362</f>
        <v>27835</v>
      </c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</row>
    <row r="363" spans="1:63" s="14" customFormat="1" ht="16.5">
      <c r="A363" s="128"/>
      <c r="B363" s="129"/>
      <c r="C363" s="129"/>
      <c r="D363" s="130"/>
      <c r="E363" s="129"/>
      <c r="F363" s="80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79"/>
      <c r="S363" s="79"/>
      <c r="T363" s="79"/>
      <c r="U363" s="79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</row>
    <row r="364" spans="1:63" s="16" customFormat="1" ht="18.75">
      <c r="A364" s="53" t="s">
        <v>113</v>
      </c>
      <c r="B364" s="54" t="s">
        <v>3</v>
      </c>
      <c r="C364" s="54" t="s">
        <v>128</v>
      </c>
      <c r="D364" s="65"/>
      <c r="E364" s="54"/>
      <c r="F364" s="66">
        <f aca="true" t="shared" si="187" ref="F364:U365">F365</f>
        <v>73125</v>
      </c>
      <c r="G364" s="66">
        <f t="shared" si="187"/>
        <v>10774</v>
      </c>
      <c r="H364" s="66">
        <f t="shared" si="187"/>
        <v>83899</v>
      </c>
      <c r="I364" s="66">
        <f t="shared" si="187"/>
        <v>0</v>
      </c>
      <c r="J364" s="66">
        <f t="shared" si="187"/>
        <v>88784</v>
      </c>
      <c r="K364" s="66">
        <f t="shared" si="187"/>
        <v>0</v>
      </c>
      <c r="L364" s="66">
        <f t="shared" si="187"/>
        <v>0</v>
      </c>
      <c r="M364" s="66">
        <f aca="true" t="shared" si="188" ref="M364:U364">M365+M367</f>
        <v>88784</v>
      </c>
      <c r="N364" s="66">
        <f t="shared" si="188"/>
        <v>-36519</v>
      </c>
      <c r="O364" s="66">
        <f t="shared" si="188"/>
        <v>52265</v>
      </c>
      <c r="P364" s="66">
        <f t="shared" si="188"/>
        <v>0</v>
      </c>
      <c r="Q364" s="66">
        <f t="shared" si="188"/>
        <v>52346</v>
      </c>
      <c r="R364" s="66">
        <f t="shared" si="188"/>
        <v>0</v>
      </c>
      <c r="S364" s="66">
        <f t="shared" si="188"/>
        <v>0</v>
      </c>
      <c r="T364" s="66">
        <f t="shared" si="188"/>
        <v>52265</v>
      </c>
      <c r="U364" s="66">
        <f t="shared" si="188"/>
        <v>52346</v>
      </c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</row>
    <row r="365" spans="1:21" ht="24" customHeight="1" hidden="1">
      <c r="A365" s="67" t="s">
        <v>114</v>
      </c>
      <c r="B365" s="68" t="s">
        <v>3</v>
      </c>
      <c r="C365" s="68" t="s">
        <v>128</v>
      </c>
      <c r="D365" s="69" t="s">
        <v>7</v>
      </c>
      <c r="E365" s="68"/>
      <c r="F365" s="70">
        <f t="shared" si="187"/>
        <v>73125</v>
      </c>
      <c r="G365" s="70">
        <f t="shared" si="187"/>
        <v>10774</v>
      </c>
      <c r="H365" s="70">
        <f t="shared" si="187"/>
        <v>83899</v>
      </c>
      <c r="I365" s="70">
        <f t="shared" si="187"/>
        <v>0</v>
      </c>
      <c r="J365" s="70">
        <f t="shared" si="187"/>
        <v>88784</v>
      </c>
      <c r="K365" s="70">
        <f t="shared" si="187"/>
        <v>0</v>
      </c>
      <c r="L365" s="70">
        <f t="shared" si="187"/>
        <v>0</v>
      </c>
      <c r="M365" s="70">
        <f t="shared" si="187"/>
        <v>88784</v>
      </c>
      <c r="N365" s="70">
        <f t="shared" si="187"/>
        <v>-88784</v>
      </c>
      <c r="O365" s="70">
        <f t="shared" si="187"/>
        <v>0</v>
      </c>
      <c r="P365" s="70">
        <f t="shared" si="187"/>
        <v>0</v>
      </c>
      <c r="Q365" s="70">
        <f t="shared" si="187"/>
        <v>0</v>
      </c>
      <c r="R365" s="70">
        <f t="shared" si="187"/>
        <v>0</v>
      </c>
      <c r="S365" s="70">
        <f t="shared" si="187"/>
        <v>0</v>
      </c>
      <c r="T365" s="70">
        <f t="shared" si="187"/>
        <v>0</v>
      </c>
      <c r="U365" s="70">
        <f t="shared" si="187"/>
        <v>0</v>
      </c>
    </row>
    <row r="366" spans="1:63" s="12" customFormat="1" ht="39" customHeight="1" hidden="1">
      <c r="A366" s="67" t="s">
        <v>129</v>
      </c>
      <c r="B366" s="68" t="s">
        <v>3</v>
      </c>
      <c r="C366" s="68" t="s">
        <v>128</v>
      </c>
      <c r="D366" s="69" t="s">
        <v>7</v>
      </c>
      <c r="E366" s="68" t="s">
        <v>130</v>
      </c>
      <c r="F366" s="59">
        <v>73125</v>
      </c>
      <c r="G366" s="59">
        <f>H366-F366</f>
        <v>10774</v>
      </c>
      <c r="H366" s="59">
        <f>35145+21900+24226+2512+200-47-37</f>
        <v>83899</v>
      </c>
      <c r="I366" s="59"/>
      <c r="J366" s="59">
        <f>37712+24006+24226+2690+240-39-51</f>
        <v>88784</v>
      </c>
      <c r="K366" s="82"/>
      <c r="L366" s="82"/>
      <c r="M366" s="59">
        <v>88784</v>
      </c>
      <c r="N366" s="59">
        <f>O366-M366</f>
        <v>-88784</v>
      </c>
      <c r="O366" s="59"/>
      <c r="P366" s="59"/>
      <c r="Q366" s="59"/>
      <c r="R366" s="59"/>
      <c r="S366" s="59"/>
      <c r="T366" s="59"/>
      <c r="U366" s="59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</row>
    <row r="367" spans="1:63" s="12" customFormat="1" ht="25.5" customHeight="1">
      <c r="A367" s="67" t="s">
        <v>114</v>
      </c>
      <c r="B367" s="68" t="s">
        <v>3</v>
      </c>
      <c r="C367" s="68" t="s">
        <v>128</v>
      </c>
      <c r="D367" s="69" t="s">
        <v>262</v>
      </c>
      <c r="E367" s="68"/>
      <c r="F367" s="59"/>
      <c r="G367" s="59"/>
      <c r="H367" s="59"/>
      <c r="I367" s="59"/>
      <c r="J367" s="59"/>
      <c r="K367" s="82"/>
      <c r="L367" s="82"/>
      <c r="M367" s="59">
        <f aca="true" t="shared" si="189" ref="M367:U367">M368</f>
        <v>0</v>
      </c>
      <c r="N367" s="59">
        <f t="shared" si="189"/>
        <v>52265</v>
      </c>
      <c r="O367" s="59">
        <f t="shared" si="189"/>
        <v>52265</v>
      </c>
      <c r="P367" s="59">
        <f t="shared" si="189"/>
        <v>0</v>
      </c>
      <c r="Q367" s="59">
        <f t="shared" si="189"/>
        <v>52346</v>
      </c>
      <c r="R367" s="59">
        <f t="shared" si="189"/>
        <v>0</v>
      </c>
      <c r="S367" s="59">
        <f t="shared" si="189"/>
        <v>0</v>
      </c>
      <c r="T367" s="59">
        <f t="shared" si="189"/>
        <v>52265</v>
      </c>
      <c r="U367" s="59">
        <f t="shared" si="189"/>
        <v>52346</v>
      </c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</row>
    <row r="368" spans="1:63" s="12" customFormat="1" ht="36.75" customHeight="1">
      <c r="A368" s="67" t="s">
        <v>129</v>
      </c>
      <c r="B368" s="68" t="s">
        <v>3</v>
      </c>
      <c r="C368" s="68" t="s">
        <v>128</v>
      </c>
      <c r="D368" s="69" t="s">
        <v>262</v>
      </c>
      <c r="E368" s="68" t="s">
        <v>130</v>
      </c>
      <c r="F368" s="59"/>
      <c r="G368" s="59"/>
      <c r="H368" s="59"/>
      <c r="I368" s="59"/>
      <c r="J368" s="59"/>
      <c r="K368" s="82"/>
      <c r="L368" s="82"/>
      <c r="M368" s="59"/>
      <c r="N368" s="59">
        <f>O368-M368</f>
        <v>52265</v>
      </c>
      <c r="O368" s="59">
        <f>10527+19774+21964</f>
        <v>52265</v>
      </c>
      <c r="P368" s="59"/>
      <c r="Q368" s="59">
        <f>10527+19813+22006</f>
        <v>52346</v>
      </c>
      <c r="R368" s="82"/>
      <c r="S368" s="82"/>
      <c r="T368" s="59">
        <f>O368+R368</f>
        <v>52265</v>
      </c>
      <c r="U368" s="59">
        <f>Q368+S368</f>
        <v>52346</v>
      </c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</row>
    <row r="369" spans="1:63" s="12" customFormat="1" ht="18.75">
      <c r="A369" s="53"/>
      <c r="B369" s="54"/>
      <c r="C369" s="54"/>
      <c r="D369" s="55"/>
      <c r="E369" s="54"/>
      <c r="F369" s="13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</row>
    <row r="370" spans="1:63" s="12" customFormat="1" ht="18.75">
      <c r="A370" s="53" t="s">
        <v>115</v>
      </c>
      <c r="B370" s="54" t="s">
        <v>3</v>
      </c>
      <c r="C370" s="54" t="s">
        <v>132</v>
      </c>
      <c r="D370" s="65"/>
      <c r="E370" s="54"/>
      <c r="F370" s="66">
        <f aca="true" t="shared" si="190" ref="F370:O370">F371+F374</f>
        <v>113930</v>
      </c>
      <c r="G370" s="66">
        <f t="shared" si="190"/>
        <v>93452</v>
      </c>
      <c r="H370" s="66">
        <f t="shared" si="190"/>
        <v>207382</v>
      </c>
      <c r="I370" s="66">
        <f t="shared" si="190"/>
        <v>0</v>
      </c>
      <c r="J370" s="66">
        <f t="shared" si="190"/>
        <v>94467</v>
      </c>
      <c r="K370" s="66">
        <f t="shared" si="190"/>
        <v>0</v>
      </c>
      <c r="L370" s="66">
        <f t="shared" si="190"/>
        <v>0</v>
      </c>
      <c r="M370" s="66">
        <f t="shared" si="190"/>
        <v>94467</v>
      </c>
      <c r="N370" s="66">
        <f t="shared" si="190"/>
        <v>-60968</v>
      </c>
      <c r="O370" s="66">
        <f t="shared" si="190"/>
        <v>33499</v>
      </c>
      <c r="P370" s="66">
        <f aca="true" t="shared" si="191" ref="P370:U370">P371+P374</f>
        <v>0</v>
      </c>
      <c r="Q370" s="66">
        <f t="shared" si="191"/>
        <v>33314</v>
      </c>
      <c r="R370" s="66">
        <f t="shared" si="191"/>
        <v>0</v>
      </c>
      <c r="S370" s="66">
        <f t="shared" si="191"/>
        <v>0</v>
      </c>
      <c r="T370" s="66">
        <f t="shared" si="191"/>
        <v>33499</v>
      </c>
      <c r="U370" s="66">
        <f t="shared" si="191"/>
        <v>33314</v>
      </c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</row>
    <row r="371" spans="1:63" s="12" customFormat="1" ht="20.25" customHeight="1">
      <c r="A371" s="67" t="s">
        <v>8</v>
      </c>
      <c r="B371" s="68" t="s">
        <v>3</v>
      </c>
      <c r="C371" s="68" t="s">
        <v>132</v>
      </c>
      <c r="D371" s="69" t="s">
        <v>116</v>
      </c>
      <c r="E371" s="68"/>
      <c r="F371" s="70">
        <f aca="true" t="shared" si="192" ref="F371:O371">F373+F372</f>
        <v>10133</v>
      </c>
      <c r="G371" s="70">
        <f t="shared" si="192"/>
        <v>17</v>
      </c>
      <c r="H371" s="70">
        <f t="shared" si="192"/>
        <v>10150</v>
      </c>
      <c r="I371" s="70">
        <f t="shared" si="192"/>
        <v>0</v>
      </c>
      <c r="J371" s="70">
        <f t="shared" si="192"/>
        <v>10150</v>
      </c>
      <c r="K371" s="70">
        <f t="shared" si="192"/>
        <v>0</v>
      </c>
      <c r="L371" s="70">
        <f t="shared" si="192"/>
        <v>0</v>
      </c>
      <c r="M371" s="70">
        <f t="shared" si="192"/>
        <v>10150</v>
      </c>
      <c r="N371" s="70">
        <f t="shared" si="192"/>
        <v>-600</v>
      </c>
      <c r="O371" s="70">
        <f t="shared" si="192"/>
        <v>9550</v>
      </c>
      <c r="P371" s="70">
        <f aca="true" t="shared" si="193" ref="P371:U371">P373+P372</f>
        <v>0</v>
      </c>
      <c r="Q371" s="70">
        <f t="shared" si="193"/>
        <v>9550</v>
      </c>
      <c r="R371" s="70">
        <f t="shared" si="193"/>
        <v>0</v>
      </c>
      <c r="S371" s="70">
        <f t="shared" si="193"/>
        <v>0</v>
      </c>
      <c r="T371" s="70">
        <f t="shared" si="193"/>
        <v>9550</v>
      </c>
      <c r="U371" s="70">
        <f t="shared" si="193"/>
        <v>9550</v>
      </c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</row>
    <row r="372" spans="1:63" s="12" customFormat="1" ht="55.5" customHeight="1" hidden="1">
      <c r="A372" s="67" t="s">
        <v>137</v>
      </c>
      <c r="B372" s="68" t="s">
        <v>3</v>
      </c>
      <c r="C372" s="68" t="s">
        <v>132</v>
      </c>
      <c r="D372" s="69" t="s">
        <v>9</v>
      </c>
      <c r="E372" s="68" t="s">
        <v>138</v>
      </c>
      <c r="F372" s="59">
        <v>760</v>
      </c>
      <c r="G372" s="59">
        <f>H372-F372</f>
        <v>-160</v>
      </c>
      <c r="H372" s="59">
        <v>600</v>
      </c>
      <c r="I372" s="59"/>
      <c r="J372" s="59">
        <v>600</v>
      </c>
      <c r="K372" s="82"/>
      <c r="L372" s="82"/>
      <c r="M372" s="59">
        <v>600</v>
      </c>
      <c r="N372" s="59">
        <f>O372-M372</f>
        <v>-600</v>
      </c>
      <c r="O372" s="59"/>
      <c r="P372" s="59"/>
      <c r="Q372" s="59"/>
      <c r="R372" s="82"/>
      <c r="S372" s="82"/>
      <c r="T372" s="82"/>
      <c r="U372" s="82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</row>
    <row r="373" spans="1:63" s="12" customFormat="1" ht="20.25" customHeight="1">
      <c r="A373" s="67" t="s">
        <v>10</v>
      </c>
      <c r="B373" s="68" t="s">
        <v>3</v>
      </c>
      <c r="C373" s="68" t="s">
        <v>132</v>
      </c>
      <c r="D373" s="69" t="s">
        <v>9</v>
      </c>
      <c r="E373" s="68" t="s">
        <v>17</v>
      </c>
      <c r="F373" s="59">
        <v>9373</v>
      </c>
      <c r="G373" s="59">
        <f>H373-F373</f>
        <v>177</v>
      </c>
      <c r="H373" s="59">
        <v>9550</v>
      </c>
      <c r="I373" s="59"/>
      <c r="J373" s="59">
        <v>9550</v>
      </c>
      <c r="K373" s="82"/>
      <c r="L373" s="82"/>
      <c r="M373" s="59">
        <v>9550</v>
      </c>
      <c r="N373" s="59">
        <f>O373-M373</f>
        <v>0</v>
      </c>
      <c r="O373" s="59">
        <v>9550</v>
      </c>
      <c r="P373" s="59"/>
      <c r="Q373" s="59">
        <v>9550</v>
      </c>
      <c r="R373" s="82"/>
      <c r="S373" s="82"/>
      <c r="T373" s="59">
        <f>O373+R373</f>
        <v>9550</v>
      </c>
      <c r="U373" s="59">
        <f>Q373+S373</f>
        <v>9550</v>
      </c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</row>
    <row r="374" spans="1:63" s="28" customFormat="1" ht="23.25" customHeight="1">
      <c r="A374" s="67" t="s">
        <v>121</v>
      </c>
      <c r="B374" s="68" t="s">
        <v>3</v>
      </c>
      <c r="C374" s="68" t="s">
        <v>132</v>
      </c>
      <c r="D374" s="69" t="s">
        <v>122</v>
      </c>
      <c r="E374" s="68"/>
      <c r="F374" s="70">
        <f aca="true" t="shared" si="194" ref="F374:M374">F375+F376</f>
        <v>103797</v>
      </c>
      <c r="G374" s="70">
        <f t="shared" si="194"/>
        <v>93435</v>
      </c>
      <c r="H374" s="70">
        <f t="shared" si="194"/>
        <v>197232</v>
      </c>
      <c r="I374" s="70">
        <f t="shared" si="194"/>
        <v>0</v>
      </c>
      <c r="J374" s="70">
        <f t="shared" si="194"/>
        <v>84317</v>
      </c>
      <c r="K374" s="70">
        <f t="shared" si="194"/>
        <v>0</v>
      </c>
      <c r="L374" s="70">
        <f t="shared" si="194"/>
        <v>0</v>
      </c>
      <c r="M374" s="70">
        <f t="shared" si="194"/>
        <v>84317</v>
      </c>
      <c r="N374" s="70">
        <f aca="true" t="shared" si="195" ref="N374:U374">N375+N376+N377+N383+N381</f>
        <v>-60368</v>
      </c>
      <c r="O374" s="70">
        <f t="shared" si="195"/>
        <v>23949</v>
      </c>
      <c r="P374" s="70">
        <f t="shared" si="195"/>
        <v>0</v>
      </c>
      <c r="Q374" s="70">
        <f t="shared" si="195"/>
        <v>23764</v>
      </c>
      <c r="R374" s="70">
        <f t="shared" si="195"/>
        <v>0</v>
      </c>
      <c r="S374" s="70">
        <f t="shared" si="195"/>
        <v>0</v>
      </c>
      <c r="T374" s="70">
        <f t="shared" si="195"/>
        <v>23949</v>
      </c>
      <c r="U374" s="70">
        <f t="shared" si="195"/>
        <v>23764</v>
      </c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</row>
    <row r="375" spans="1:63" s="28" customFormat="1" ht="51.75" customHeight="1" hidden="1">
      <c r="A375" s="67" t="s">
        <v>137</v>
      </c>
      <c r="B375" s="68" t="s">
        <v>3</v>
      </c>
      <c r="C375" s="68" t="s">
        <v>132</v>
      </c>
      <c r="D375" s="69" t="s">
        <v>122</v>
      </c>
      <c r="E375" s="68" t="s">
        <v>138</v>
      </c>
      <c r="F375" s="59">
        <v>1432</v>
      </c>
      <c r="G375" s="59">
        <f>H375-F375</f>
        <v>0</v>
      </c>
      <c r="H375" s="59">
        <v>1432</v>
      </c>
      <c r="I375" s="59"/>
      <c r="J375" s="59">
        <v>1530</v>
      </c>
      <c r="K375" s="133"/>
      <c r="L375" s="133"/>
      <c r="M375" s="59">
        <v>1530</v>
      </c>
      <c r="N375" s="59">
        <f>O375-M375</f>
        <v>-1530</v>
      </c>
      <c r="O375" s="59"/>
      <c r="P375" s="59"/>
      <c r="Q375" s="59"/>
      <c r="R375" s="59"/>
      <c r="S375" s="59"/>
      <c r="T375" s="59"/>
      <c r="U375" s="59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</row>
    <row r="376" spans="1:63" s="12" customFormat="1" ht="20.25" customHeight="1" hidden="1">
      <c r="A376" s="67" t="s">
        <v>10</v>
      </c>
      <c r="B376" s="68" t="s">
        <v>3</v>
      </c>
      <c r="C376" s="68" t="s">
        <v>132</v>
      </c>
      <c r="D376" s="69" t="s">
        <v>122</v>
      </c>
      <c r="E376" s="68" t="s">
        <v>17</v>
      </c>
      <c r="F376" s="59">
        <v>102365</v>
      </c>
      <c r="G376" s="59">
        <f>H376-F376</f>
        <v>93435</v>
      </c>
      <c r="H376" s="59">
        <f>45174+5666+144960</f>
        <v>195800</v>
      </c>
      <c r="I376" s="59"/>
      <c r="J376" s="59">
        <f>47872+6115+28800</f>
        <v>82787</v>
      </c>
      <c r="K376" s="82"/>
      <c r="L376" s="82"/>
      <c r="M376" s="59">
        <v>82787</v>
      </c>
      <c r="N376" s="59">
        <f>O376-M376</f>
        <v>-82787</v>
      </c>
      <c r="O376" s="59"/>
      <c r="P376" s="59"/>
      <c r="Q376" s="59"/>
      <c r="R376" s="59"/>
      <c r="S376" s="59"/>
      <c r="T376" s="59"/>
      <c r="U376" s="59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</row>
    <row r="377" spans="1:63" s="12" customFormat="1" ht="87" customHeight="1">
      <c r="A377" s="67" t="s">
        <v>283</v>
      </c>
      <c r="B377" s="68" t="s">
        <v>3</v>
      </c>
      <c r="C377" s="68" t="s">
        <v>132</v>
      </c>
      <c r="D377" s="69" t="s">
        <v>281</v>
      </c>
      <c r="E377" s="68"/>
      <c r="F377" s="59"/>
      <c r="G377" s="59"/>
      <c r="H377" s="59"/>
      <c r="I377" s="59"/>
      <c r="J377" s="59"/>
      <c r="K377" s="82"/>
      <c r="L377" s="82"/>
      <c r="M377" s="59"/>
      <c r="N377" s="59">
        <f aca="true" t="shared" si="196" ref="N377:U377">N378</f>
        <v>12073</v>
      </c>
      <c r="O377" s="59">
        <f t="shared" si="196"/>
        <v>12073</v>
      </c>
      <c r="P377" s="59">
        <f t="shared" si="196"/>
        <v>0</v>
      </c>
      <c r="Q377" s="59">
        <f t="shared" si="196"/>
        <v>11888</v>
      </c>
      <c r="R377" s="59">
        <f t="shared" si="196"/>
        <v>0</v>
      </c>
      <c r="S377" s="59">
        <f t="shared" si="196"/>
        <v>0</v>
      </c>
      <c r="T377" s="59">
        <f t="shared" si="196"/>
        <v>12073</v>
      </c>
      <c r="U377" s="59">
        <f t="shared" si="196"/>
        <v>11888</v>
      </c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</row>
    <row r="378" spans="1:63" s="12" customFormat="1" ht="51.75" customHeight="1">
      <c r="A378" s="67" t="s">
        <v>284</v>
      </c>
      <c r="B378" s="68" t="s">
        <v>3</v>
      </c>
      <c r="C378" s="68" t="s">
        <v>132</v>
      </c>
      <c r="D378" s="69" t="s">
        <v>282</v>
      </c>
      <c r="E378" s="68"/>
      <c r="F378" s="59"/>
      <c r="G378" s="59"/>
      <c r="H378" s="59"/>
      <c r="I378" s="59"/>
      <c r="J378" s="59"/>
      <c r="K378" s="82"/>
      <c r="L378" s="82"/>
      <c r="M378" s="59"/>
      <c r="N378" s="59">
        <f aca="true" t="shared" si="197" ref="N378:U378">N379+N380</f>
        <v>12073</v>
      </c>
      <c r="O378" s="59">
        <f t="shared" si="197"/>
        <v>12073</v>
      </c>
      <c r="P378" s="59">
        <f t="shared" si="197"/>
        <v>0</v>
      </c>
      <c r="Q378" s="59">
        <f t="shared" si="197"/>
        <v>11888</v>
      </c>
      <c r="R378" s="59">
        <f t="shared" si="197"/>
        <v>0</v>
      </c>
      <c r="S378" s="59">
        <f t="shared" si="197"/>
        <v>0</v>
      </c>
      <c r="T378" s="59">
        <f t="shared" si="197"/>
        <v>12073</v>
      </c>
      <c r="U378" s="59">
        <f t="shared" si="197"/>
        <v>11888</v>
      </c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</row>
    <row r="379" spans="1:63" s="12" customFormat="1" ht="57" customHeight="1">
      <c r="A379" s="67" t="s">
        <v>137</v>
      </c>
      <c r="B379" s="68" t="s">
        <v>3</v>
      </c>
      <c r="C379" s="68" t="s">
        <v>132</v>
      </c>
      <c r="D379" s="69" t="s">
        <v>282</v>
      </c>
      <c r="E379" s="68" t="s">
        <v>138</v>
      </c>
      <c r="F379" s="59"/>
      <c r="G379" s="59"/>
      <c r="H379" s="59"/>
      <c r="I379" s="59"/>
      <c r="J379" s="59"/>
      <c r="K379" s="82"/>
      <c r="L379" s="82"/>
      <c r="M379" s="59"/>
      <c r="N379" s="59">
        <f>O379-M379</f>
        <v>1375</v>
      </c>
      <c r="O379" s="59">
        <v>1375</v>
      </c>
      <c r="P379" s="59"/>
      <c r="Q379" s="59">
        <v>1190</v>
      </c>
      <c r="R379" s="82"/>
      <c r="S379" s="82"/>
      <c r="T379" s="59">
        <f>O379+R379</f>
        <v>1375</v>
      </c>
      <c r="U379" s="59">
        <f>Q379+S379</f>
        <v>1190</v>
      </c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</row>
    <row r="380" spans="1:63" s="12" customFormat="1" ht="24.75" customHeight="1">
      <c r="A380" s="67" t="s">
        <v>10</v>
      </c>
      <c r="B380" s="68" t="s">
        <v>3</v>
      </c>
      <c r="C380" s="68" t="s">
        <v>132</v>
      </c>
      <c r="D380" s="69" t="s">
        <v>282</v>
      </c>
      <c r="E380" s="68" t="s">
        <v>17</v>
      </c>
      <c r="F380" s="59"/>
      <c r="G380" s="59"/>
      <c r="H380" s="59"/>
      <c r="I380" s="59"/>
      <c r="J380" s="59"/>
      <c r="K380" s="82"/>
      <c r="L380" s="82"/>
      <c r="M380" s="59"/>
      <c r="N380" s="59">
        <f>O380-M380</f>
        <v>10698</v>
      </c>
      <c r="O380" s="59">
        <f>10429+269</f>
        <v>10698</v>
      </c>
      <c r="P380" s="59"/>
      <c r="Q380" s="59">
        <f>10429+269</f>
        <v>10698</v>
      </c>
      <c r="R380" s="82"/>
      <c r="S380" s="82"/>
      <c r="T380" s="59">
        <f>O380+R380</f>
        <v>10698</v>
      </c>
      <c r="U380" s="59">
        <f>Q380+S380</f>
        <v>10698</v>
      </c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</row>
    <row r="381" spans="1:63" s="12" customFormat="1" ht="44.25" customHeight="1">
      <c r="A381" s="67" t="s">
        <v>317</v>
      </c>
      <c r="B381" s="68" t="s">
        <v>3</v>
      </c>
      <c r="C381" s="68" t="s">
        <v>132</v>
      </c>
      <c r="D381" s="69" t="s">
        <v>302</v>
      </c>
      <c r="E381" s="68"/>
      <c r="F381" s="59"/>
      <c r="G381" s="59"/>
      <c r="H381" s="59"/>
      <c r="I381" s="59"/>
      <c r="J381" s="59"/>
      <c r="K381" s="82"/>
      <c r="L381" s="82"/>
      <c r="M381" s="59"/>
      <c r="N381" s="59">
        <f aca="true" t="shared" si="198" ref="N381:U381">N382</f>
        <v>4171</v>
      </c>
      <c r="O381" s="59">
        <f t="shared" si="198"/>
        <v>4171</v>
      </c>
      <c r="P381" s="59">
        <f t="shared" si="198"/>
        <v>0</v>
      </c>
      <c r="Q381" s="59">
        <f t="shared" si="198"/>
        <v>4171</v>
      </c>
      <c r="R381" s="59">
        <f t="shared" si="198"/>
        <v>0</v>
      </c>
      <c r="S381" s="59">
        <f t="shared" si="198"/>
        <v>0</v>
      </c>
      <c r="T381" s="59">
        <f t="shared" si="198"/>
        <v>4171</v>
      </c>
      <c r="U381" s="59">
        <f t="shared" si="198"/>
        <v>4171</v>
      </c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</row>
    <row r="382" spans="1:63" s="12" customFormat="1" ht="24.75" customHeight="1">
      <c r="A382" s="67" t="s">
        <v>10</v>
      </c>
      <c r="B382" s="68" t="s">
        <v>3</v>
      </c>
      <c r="C382" s="68" t="s">
        <v>132</v>
      </c>
      <c r="D382" s="69" t="s">
        <v>302</v>
      </c>
      <c r="E382" s="68" t="s">
        <v>17</v>
      </c>
      <c r="F382" s="59"/>
      <c r="G382" s="59"/>
      <c r="H382" s="59"/>
      <c r="I382" s="59"/>
      <c r="J382" s="59"/>
      <c r="K382" s="82"/>
      <c r="L382" s="82"/>
      <c r="M382" s="59"/>
      <c r="N382" s="59">
        <f>O382-M382</f>
        <v>4171</v>
      </c>
      <c r="O382" s="59">
        <v>4171</v>
      </c>
      <c r="P382" s="59"/>
      <c r="Q382" s="59">
        <v>4171</v>
      </c>
      <c r="R382" s="82"/>
      <c r="S382" s="82"/>
      <c r="T382" s="59">
        <f>O382+R382</f>
        <v>4171</v>
      </c>
      <c r="U382" s="59">
        <f>Q382+S382</f>
        <v>4171</v>
      </c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</row>
    <row r="383" spans="1:63" s="12" customFormat="1" ht="42" customHeight="1">
      <c r="A383" s="67" t="s">
        <v>316</v>
      </c>
      <c r="B383" s="68" t="s">
        <v>3</v>
      </c>
      <c r="C383" s="68" t="s">
        <v>132</v>
      </c>
      <c r="D383" s="69" t="s">
        <v>297</v>
      </c>
      <c r="E383" s="68"/>
      <c r="F383" s="59"/>
      <c r="G383" s="59"/>
      <c r="H383" s="59"/>
      <c r="I383" s="59"/>
      <c r="J383" s="59"/>
      <c r="K383" s="82"/>
      <c r="L383" s="82"/>
      <c r="M383" s="59"/>
      <c r="N383" s="59">
        <f aca="true" t="shared" si="199" ref="N383:U383">N384</f>
        <v>7705</v>
      </c>
      <c r="O383" s="59">
        <f t="shared" si="199"/>
        <v>7705</v>
      </c>
      <c r="P383" s="59">
        <f t="shared" si="199"/>
        <v>0</v>
      </c>
      <c r="Q383" s="59">
        <f t="shared" si="199"/>
        <v>7705</v>
      </c>
      <c r="R383" s="59">
        <f t="shared" si="199"/>
        <v>0</v>
      </c>
      <c r="S383" s="59">
        <f t="shared" si="199"/>
        <v>0</v>
      </c>
      <c r="T383" s="59">
        <f t="shared" si="199"/>
        <v>7705</v>
      </c>
      <c r="U383" s="59">
        <f t="shared" si="199"/>
        <v>7705</v>
      </c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</row>
    <row r="384" spans="1:63" s="12" customFormat="1" ht="22.5" customHeight="1">
      <c r="A384" s="67" t="s">
        <v>10</v>
      </c>
      <c r="B384" s="68" t="s">
        <v>3</v>
      </c>
      <c r="C384" s="68" t="s">
        <v>132</v>
      </c>
      <c r="D384" s="69" t="s">
        <v>297</v>
      </c>
      <c r="E384" s="68" t="s">
        <v>17</v>
      </c>
      <c r="F384" s="59"/>
      <c r="G384" s="59"/>
      <c r="H384" s="59"/>
      <c r="I384" s="59"/>
      <c r="J384" s="59"/>
      <c r="K384" s="82"/>
      <c r="L384" s="82"/>
      <c r="M384" s="59"/>
      <c r="N384" s="59">
        <f>O384-M384</f>
        <v>7705</v>
      </c>
      <c r="O384" s="59">
        <v>7705</v>
      </c>
      <c r="P384" s="59"/>
      <c r="Q384" s="59">
        <v>7705</v>
      </c>
      <c r="R384" s="82"/>
      <c r="S384" s="82"/>
      <c r="T384" s="59">
        <f>O384+R384</f>
        <v>7705</v>
      </c>
      <c r="U384" s="59">
        <f>Q384+S384</f>
        <v>7705</v>
      </c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</row>
    <row r="385" spans="1:63" s="28" customFormat="1" ht="15">
      <c r="A385" s="89"/>
      <c r="B385" s="134"/>
      <c r="C385" s="134"/>
      <c r="D385" s="135"/>
      <c r="E385" s="134"/>
      <c r="F385" s="133"/>
      <c r="G385" s="133"/>
      <c r="H385" s="133"/>
      <c r="I385" s="133"/>
      <c r="J385" s="133"/>
      <c r="K385" s="133"/>
      <c r="L385" s="133"/>
      <c r="M385" s="133"/>
      <c r="N385" s="133"/>
      <c r="O385" s="133"/>
      <c r="P385" s="133"/>
      <c r="Q385" s="133"/>
      <c r="R385" s="136"/>
      <c r="S385" s="136"/>
      <c r="T385" s="136"/>
      <c r="U385" s="136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</row>
    <row r="386" spans="1:63" s="28" customFormat="1" ht="41.25" customHeight="1">
      <c r="A386" s="53" t="s">
        <v>117</v>
      </c>
      <c r="B386" s="54" t="s">
        <v>3</v>
      </c>
      <c r="C386" s="54" t="s">
        <v>149</v>
      </c>
      <c r="D386" s="65"/>
      <c r="E386" s="54"/>
      <c r="F386" s="66">
        <f aca="true" t="shared" si="200" ref="F386:O386">F387+F389+F394</f>
        <v>55449</v>
      </c>
      <c r="G386" s="66">
        <f t="shared" si="200"/>
        <v>-7023</v>
      </c>
      <c r="H386" s="66">
        <f t="shared" si="200"/>
        <v>48426</v>
      </c>
      <c r="I386" s="66">
        <f t="shared" si="200"/>
        <v>0</v>
      </c>
      <c r="J386" s="66">
        <f t="shared" si="200"/>
        <v>52472</v>
      </c>
      <c r="K386" s="66">
        <f t="shared" si="200"/>
        <v>0</v>
      </c>
      <c r="L386" s="66">
        <f t="shared" si="200"/>
        <v>0</v>
      </c>
      <c r="M386" s="66">
        <f t="shared" si="200"/>
        <v>52472</v>
      </c>
      <c r="N386" s="66">
        <f t="shared" si="200"/>
        <v>-30734</v>
      </c>
      <c r="O386" s="66">
        <f t="shared" si="200"/>
        <v>21738</v>
      </c>
      <c r="P386" s="66">
        <f aca="true" t="shared" si="201" ref="P386:U386">P387+P389+P394</f>
        <v>0</v>
      </c>
      <c r="Q386" s="66">
        <f t="shared" si="201"/>
        <v>21657</v>
      </c>
      <c r="R386" s="66">
        <f t="shared" si="201"/>
        <v>0</v>
      </c>
      <c r="S386" s="66">
        <f t="shared" si="201"/>
        <v>0</v>
      </c>
      <c r="T386" s="66">
        <f t="shared" si="201"/>
        <v>21738</v>
      </c>
      <c r="U386" s="66">
        <f t="shared" si="201"/>
        <v>21657</v>
      </c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</row>
    <row r="387" spans="1:63" s="28" customFormat="1" ht="57" customHeight="1" hidden="1">
      <c r="A387" s="67" t="s">
        <v>150</v>
      </c>
      <c r="B387" s="68" t="s">
        <v>3</v>
      </c>
      <c r="C387" s="68" t="s">
        <v>149</v>
      </c>
      <c r="D387" s="69" t="s">
        <v>38</v>
      </c>
      <c r="E387" s="68"/>
      <c r="F387" s="70">
        <f aca="true" t="shared" si="202" ref="F387:U387">F388</f>
        <v>0</v>
      </c>
      <c r="G387" s="70">
        <f t="shared" si="202"/>
        <v>0</v>
      </c>
      <c r="H387" s="70">
        <f t="shared" si="202"/>
        <v>0</v>
      </c>
      <c r="I387" s="70">
        <f t="shared" si="202"/>
        <v>0</v>
      </c>
      <c r="J387" s="70">
        <f t="shared" si="202"/>
        <v>0</v>
      </c>
      <c r="K387" s="70">
        <f t="shared" si="202"/>
        <v>0</v>
      </c>
      <c r="L387" s="70">
        <f t="shared" si="202"/>
        <v>0</v>
      </c>
      <c r="M387" s="70">
        <f t="shared" si="202"/>
        <v>0</v>
      </c>
      <c r="N387" s="70">
        <f t="shared" si="202"/>
        <v>0</v>
      </c>
      <c r="O387" s="70">
        <f t="shared" si="202"/>
        <v>0</v>
      </c>
      <c r="P387" s="70">
        <f t="shared" si="202"/>
        <v>0</v>
      </c>
      <c r="Q387" s="70">
        <f t="shared" si="202"/>
        <v>0</v>
      </c>
      <c r="R387" s="70">
        <f t="shared" si="202"/>
        <v>0</v>
      </c>
      <c r="S387" s="70">
        <f t="shared" si="202"/>
        <v>0</v>
      </c>
      <c r="T387" s="70">
        <f t="shared" si="202"/>
        <v>0</v>
      </c>
      <c r="U387" s="70">
        <f t="shared" si="202"/>
        <v>0</v>
      </c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</row>
    <row r="388" spans="1:63" s="28" customFormat="1" ht="104.25" customHeight="1" hidden="1">
      <c r="A388" s="67" t="s">
        <v>256</v>
      </c>
      <c r="B388" s="68" t="s">
        <v>3</v>
      </c>
      <c r="C388" s="68" t="s">
        <v>149</v>
      </c>
      <c r="D388" s="69" t="s">
        <v>38</v>
      </c>
      <c r="E388" s="68" t="s">
        <v>151</v>
      </c>
      <c r="F388" s="59"/>
      <c r="G388" s="59">
        <f>H388-F388</f>
        <v>0</v>
      </c>
      <c r="H388" s="133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</row>
    <row r="389" spans="1:63" s="28" customFormat="1" ht="38.25" customHeight="1">
      <c r="A389" s="67" t="s">
        <v>218</v>
      </c>
      <c r="B389" s="68" t="s">
        <v>3</v>
      </c>
      <c r="C389" s="68" t="s">
        <v>149</v>
      </c>
      <c r="D389" s="69" t="s">
        <v>219</v>
      </c>
      <c r="E389" s="68"/>
      <c r="F389" s="59">
        <f aca="true" t="shared" si="203" ref="F389:U390">F390</f>
        <v>1049</v>
      </c>
      <c r="G389" s="59">
        <f t="shared" si="203"/>
        <v>-92</v>
      </c>
      <c r="H389" s="59">
        <f t="shared" si="203"/>
        <v>957</v>
      </c>
      <c r="I389" s="59">
        <f t="shared" si="203"/>
        <v>0</v>
      </c>
      <c r="J389" s="59">
        <f t="shared" si="203"/>
        <v>1025</v>
      </c>
      <c r="K389" s="59">
        <f t="shared" si="203"/>
        <v>0</v>
      </c>
      <c r="L389" s="59">
        <f t="shared" si="203"/>
        <v>0</v>
      </c>
      <c r="M389" s="59">
        <f t="shared" si="203"/>
        <v>1025</v>
      </c>
      <c r="N389" s="59">
        <f aca="true" t="shared" si="204" ref="N389:U389">N390+N392</f>
        <v>-367</v>
      </c>
      <c r="O389" s="59">
        <f t="shared" si="204"/>
        <v>658</v>
      </c>
      <c r="P389" s="59">
        <f t="shared" si="204"/>
        <v>0</v>
      </c>
      <c r="Q389" s="59">
        <f t="shared" si="204"/>
        <v>658</v>
      </c>
      <c r="R389" s="59">
        <f t="shared" si="204"/>
        <v>0</v>
      </c>
      <c r="S389" s="59">
        <f t="shared" si="204"/>
        <v>0</v>
      </c>
      <c r="T389" s="59">
        <f t="shared" si="204"/>
        <v>658</v>
      </c>
      <c r="U389" s="59">
        <f t="shared" si="204"/>
        <v>658</v>
      </c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</row>
    <row r="390" spans="1:63" s="28" customFormat="1" ht="87" customHeight="1" hidden="1">
      <c r="A390" s="67" t="s">
        <v>280</v>
      </c>
      <c r="B390" s="68" t="s">
        <v>3</v>
      </c>
      <c r="C390" s="68" t="s">
        <v>149</v>
      </c>
      <c r="D390" s="69" t="s">
        <v>220</v>
      </c>
      <c r="E390" s="68"/>
      <c r="F390" s="59">
        <f t="shared" si="203"/>
        <v>1049</v>
      </c>
      <c r="G390" s="59">
        <f t="shared" si="203"/>
        <v>-92</v>
      </c>
      <c r="H390" s="59">
        <f t="shared" si="203"/>
        <v>957</v>
      </c>
      <c r="I390" s="59">
        <f t="shared" si="203"/>
        <v>0</v>
      </c>
      <c r="J390" s="59">
        <f t="shared" si="203"/>
        <v>1025</v>
      </c>
      <c r="K390" s="59">
        <f t="shared" si="203"/>
        <v>0</v>
      </c>
      <c r="L390" s="59">
        <f t="shared" si="203"/>
        <v>0</v>
      </c>
      <c r="M390" s="59">
        <f t="shared" si="203"/>
        <v>1025</v>
      </c>
      <c r="N390" s="59">
        <f t="shared" si="203"/>
        <v>-1025</v>
      </c>
      <c r="O390" s="59">
        <f t="shared" si="203"/>
        <v>0</v>
      </c>
      <c r="P390" s="59">
        <f t="shared" si="203"/>
        <v>0</v>
      </c>
      <c r="Q390" s="59">
        <f t="shared" si="203"/>
        <v>0</v>
      </c>
      <c r="R390" s="59">
        <f t="shared" si="203"/>
        <v>0</v>
      </c>
      <c r="S390" s="59">
        <f t="shared" si="203"/>
        <v>0</v>
      </c>
      <c r="T390" s="59">
        <f t="shared" si="203"/>
        <v>0</v>
      </c>
      <c r="U390" s="59">
        <f t="shared" si="203"/>
        <v>0</v>
      </c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</row>
    <row r="391" spans="1:63" s="28" customFormat="1" ht="84" customHeight="1" hidden="1">
      <c r="A391" s="67" t="s">
        <v>257</v>
      </c>
      <c r="B391" s="68" t="s">
        <v>3</v>
      </c>
      <c r="C391" s="68" t="s">
        <v>149</v>
      </c>
      <c r="D391" s="69" t="s">
        <v>220</v>
      </c>
      <c r="E391" s="68" t="s">
        <v>143</v>
      </c>
      <c r="F391" s="59">
        <v>1049</v>
      </c>
      <c r="G391" s="59">
        <f>H391-F391</f>
        <v>-92</v>
      </c>
      <c r="H391" s="59">
        <v>957</v>
      </c>
      <c r="I391" s="59"/>
      <c r="J391" s="59">
        <v>1025</v>
      </c>
      <c r="K391" s="133"/>
      <c r="L391" s="133"/>
      <c r="M391" s="59">
        <v>1025</v>
      </c>
      <c r="N391" s="59">
        <f>O391-M391</f>
        <v>-1025</v>
      </c>
      <c r="O391" s="59"/>
      <c r="P391" s="59"/>
      <c r="Q391" s="59"/>
      <c r="R391" s="59"/>
      <c r="S391" s="59"/>
      <c r="T391" s="59"/>
      <c r="U391" s="59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</row>
    <row r="392" spans="1:63" s="28" customFormat="1" ht="126.75" customHeight="1">
      <c r="A392" s="67" t="s">
        <v>306</v>
      </c>
      <c r="B392" s="68" t="s">
        <v>3</v>
      </c>
      <c r="C392" s="68" t="s">
        <v>149</v>
      </c>
      <c r="D392" s="69" t="s">
        <v>220</v>
      </c>
      <c r="E392" s="68"/>
      <c r="F392" s="59"/>
      <c r="G392" s="59"/>
      <c r="H392" s="59"/>
      <c r="I392" s="59"/>
      <c r="J392" s="59"/>
      <c r="K392" s="133"/>
      <c r="L392" s="133"/>
      <c r="M392" s="59"/>
      <c r="N392" s="59">
        <f aca="true" t="shared" si="205" ref="N392:U392">N393</f>
        <v>658</v>
      </c>
      <c r="O392" s="59">
        <f t="shared" si="205"/>
        <v>658</v>
      </c>
      <c r="P392" s="59">
        <f t="shared" si="205"/>
        <v>0</v>
      </c>
      <c r="Q392" s="59">
        <f t="shared" si="205"/>
        <v>658</v>
      </c>
      <c r="R392" s="59">
        <f t="shared" si="205"/>
        <v>0</v>
      </c>
      <c r="S392" s="59">
        <f t="shared" si="205"/>
        <v>0</v>
      </c>
      <c r="T392" s="59">
        <f t="shared" si="205"/>
        <v>658</v>
      </c>
      <c r="U392" s="59">
        <f t="shared" si="205"/>
        <v>658</v>
      </c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</row>
    <row r="393" spans="1:63" s="28" customFormat="1" ht="91.5" customHeight="1">
      <c r="A393" s="67" t="s">
        <v>257</v>
      </c>
      <c r="B393" s="68" t="s">
        <v>3</v>
      </c>
      <c r="C393" s="68" t="s">
        <v>149</v>
      </c>
      <c r="D393" s="69" t="s">
        <v>220</v>
      </c>
      <c r="E393" s="68" t="s">
        <v>143</v>
      </c>
      <c r="F393" s="59"/>
      <c r="G393" s="59"/>
      <c r="H393" s="59"/>
      <c r="I393" s="59"/>
      <c r="J393" s="59"/>
      <c r="K393" s="133"/>
      <c r="L393" s="133"/>
      <c r="M393" s="59"/>
      <c r="N393" s="59">
        <f>O393-M393</f>
        <v>658</v>
      </c>
      <c r="O393" s="59">
        <v>658</v>
      </c>
      <c r="P393" s="59"/>
      <c r="Q393" s="59">
        <v>658</v>
      </c>
      <c r="R393" s="136"/>
      <c r="S393" s="136"/>
      <c r="T393" s="59">
        <f>O393+R393</f>
        <v>658</v>
      </c>
      <c r="U393" s="59">
        <f>Q393+S393</f>
        <v>658</v>
      </c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</row>
    <row r="394" spans="1:63" s="28" customFormat="1" ht="24" customHeight="1">
      <c r="A394" s="67" t="s">
        <v>121</v>
      </c>
      <c r="B394" s="68" t="s">
        <v>3</v>
      </c>
      <c r="C394" s="68" t="s">
        <v>149</v>
      </c>
      <c r="D394" s="69" t="s">
        <v>122</v>
      </c>
      <c r="E394" s="68"/>
      <c r="F394" s="70">
        <f aca="true" t="shared" si="206" ref="F394:L394">F395+F396+F397+F401</f>
        <v>54400</v>
      </c>
      <c r="G394" s="70">
        <f t="shared" si="206"/>
        <v>-6931</v>
      </c>
      <c r="H394" s="70">
        <f t="shared" si="206"/>
        <v>47469</v>
      </c>
      <c r="I394" s="70">
        <f t="shared" si="206"/>
        <v>0</v>
      </c>
      <c r="J394" s="70">
        <f t="shared" si="206"/>
        <v>51447</v>
      </c>
      <c r="K394" s="70">
        <f t="shared" si="206"/>
        <v>0</v>
      </c>
      <c r="L394" s="70">
        <f t="shared" si="206"/>
        <v>0</v>
      </c>
      <c r="M394" s="70">
        <f>M395+M396+M397+M399+M401</f>
        <v>51447</v>
      </c>
      <c r="N394" s="70">
        <f aca="true" t="shared" si="207" ref="N394:U394">N395+N396+N397+N399+N401+N403+N412+N410</f>
        <v>-30367</v>
      </c>
      <c r="O394" s="70">
        <f t="shared" si="207"/>
        <v>21080</v>
      </c>
      <c r="P394" s="70">
        <f t="shared" si="207"/>
        <v>0</v>
      </c>
      <c r="Q394" s="70">
        <f t="shared" si="207"/>
        <v>20999</v>
      </c>
      <c r="R394" s="70">
        <f t="shared" si="207"/>
        <v>0</v>
      </c>
      <c r="S394" s="70">
        <f t="shared" si="207"/>
        <v>0</v>
      </c>
      <c r="T394" s="70">
        <f t="shared" si="207"/>
        <v>21080</v>
      </c>
      <c r="U394" s="70">
        <f t="shared" si="207"/>
        <v>20999</v>
      </c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</row>
    <row r="395" spans="1:63" s="28" customFormat="1" ht="54" customHeight="1" hidden="1">
      <c r="A395" s="67" t="s">
        <v>137</v>
      </c>
      <c r="B395" s="68" t="s">
        <v>3</v>
      </c>
      <c r="C395" s="68" t="s">
        <v>149</v>
      </c>
      <c r="D395" s="69" t="s">
        <v>122</v>
      </c>
      <c r="E395" s="68" t="s">
        <v>138</v>
      </c>
      <c r="F395" s="59">
        <v>51395</v>
      </c>
      <c r="G395" s="59">
        <f>H395-F395</f>
        <v>-7016</v>
      </c>
      <c r="H395" s="59">
        <f>1070+220+41500+387+590+1366-838+47+37</f>
        <v>44379</v>
      </c>
      <c r="I395" s="59"/>
      <c r="J395" s="59">
        <f>1137+230+45102+402+630+1463-897+39+51</f>
        <v>48157</v>
      </c>
      <c r="K395" s="133"/>
      <c r="L395" s="133"/>
      <c r="M395" s="59">
        <v>48157</v>
      </c>
      <c r="N395" s="59">
        <f>O395-M395</f>
        <v>-48157</v>
      </c>
      <c r="O395" s="59"/>
      <c r="P395" s="59"/>
      <c r="Q395" s="59"/>
      <c r="R395" s="59"/>
      <c r="S395" s="59"/>
      <c r="T395" s="59"/>
      <c r="U395" s="59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</row>
    <row r="396" spans="1:63" s="28" customFormat="1" ht="21" customHeight="1" hidden="1">
      <c r="A396" s="67" t="s">
        <v>10</v>
      </c>
      <c r="B396" s="68" t="s">
        <v>3</v>
      </c>
      <c r="C396" s="68" t="s">
        <v>149</v>
      </c>
      <c r="D396" s="69" t="s">
        <v>122</v>
      </c>
      <c r="E396" s="68" t="s">
        <v>17</v>
      </c>
      <c r="F396" s="59"/>
      <c r="G396" s="59">
        <f>H396-F396</f>
        <v>90</v>
      </c>
      <c r="H396" s="59">
        <v>90</v>
      </c>
      <c r="I396" s="59"/>
      <c r="J396" s="59">
        <v>90</v>
      </c>
      <c r="K396" s="133"/>
      <c r="L396" s="133"/>
      <c r="M396" s="59">
        <v>90</v>
      </c>
      <c r="N396" s="59">
        <f>O396-M396</f>
        <v>-90</v>
      </c>
      <c r="O396" s="59"/>
      <c r="P396" s="59"/>
      <c r="Q396" s="59"/>
      <c r="R396" s="59"/>
      <c r="S396" s="59"/>
      <c r="T396" s="59"/>
      <c r="U396" s="59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</row>
    <row r="397" spans="1:63" s="28" customFormat="1" ht="53.25" customHeight="1" hidden="1">
      <c r="A397" s="67" t="s">
        <v>260</v>
      </c>
      <c r="B397" s="68" t="s">
        <v>3</v>
      </c>
      <c r="C397" s="68" t="s">
        <v>149</v>
      </c>
      <c r="D397" s="69" t="s">
        <v>185</v>
      </c>
      <c r="E397" s="68"/>
      <c r="F397" s="70">
        <f aca="true" t="shared" si="208" ref="F397:U397">F398</f>
        <v>1500</v>
      </c>
      <c r="G397" s="70">
        <f t="shared" si="208"/>
        <v>0</v>
      </c>
      <c r="H397" s="70">
        <f t="shared" si="208"/>
        <v>1500</v>
      </c>
      <c r="I397" s="70">
        <f t="shared" si="208"/>
        <v>0</v>
      </c>
      <c r="J397" s="70">
        <f t="shared" si="208"/>
        <v>1600</v>
      </c>
      <c r="K397" s="70">
        <f t="shared" si="208"/>
        <v>0</v>
      </c>
      <c r="L397" s="70">
        <f t="shared" si="208"/>
        <v>0</v>
      </c>
      <c r="M397" s="70">
        <f t="shared" si="208"/>
        <v>1600</v>
      </c>
      <c r="N397" s="70">
        <f t="shared" si="208"/>
        <v>-1600</v>
      </c>
      <c r="O397" s="70">
        <f t="shared" si="208"/>
        <v>0</v>
      </c>
      <c r="P397" s="70">
        <f t="shared" si="208"/>
        <v>0</v>
      </c>
      <c r="Q397" s="70">
        <f t="shared" si="208"/>
        <v>0</v>
      </c>
      <c r="R397" s="70">
        <f t="shared" si="208"/>
        <v>0</v>
      </c>
      <c r="S397" s="70">
        <f t="shared" si="208"/>
        <v>0</v>
      </c>
      <c r="T397" s="70">
        <f t="shared" si="208"/>
        <v>0</v>
      </c>
      <c r="U397" s="70">
        <f t="shared" si="208"/>
        <v>0</v>
      </c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</row>
    <row r="398" spans="1:63" s="28" customFormat="1" ht="89.25" customHeight="1" hidden="1">
      <c r="A398" s="67" t="s">
        <v>257</v>
      </c>
      <c r="B398" s="68" t="s">
        <v>3</v>
      </c>
      <c r="C398" s="68" t="s">
        <v>149</v>
      </c>
      <c r="D398" s="69" t="s">
        <v>185</v>
      </c>
      <c r="E398" s="68" t="s">
        <v>143</v>
      </c>
      <c r="F398" s="59">
        <v>1500</v>
      </c>
      <c r="G398" s="59">
        <f>H398-F398</f>
        <v>0</v>
      </c>
      <c r="H398" s="59">
        <v>1500</v>
      </c>
      <c r="I398" s="59"/>
      <c r="J398" s="59">
        <v>1600</v>
      </c>
      <c r="K398" s="133"/>
      <c r="L398" s="133"/>
      <c r="M398" s="59">
        <v>1600</v>
      </c>
      <c r="N398" s="59">
        <f>O398-M398</f>
        <v>-1600</v>
      </c>
      <c r="O398" s="59"/>
      <c r="P398" s="59"/>
      <c r="Q398" s="59"/>
      <c r="R398" s="59"/>
      <c r="S398" s="59"/>
      <c r="T398" s="59"/>
      <c r="U398" s="59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</row>
    <row r="399" spans="1:63" s="28" customFormat="1" ht="74.25" customHeight="1" hidden="1">
      <c r="A399" s="67" t="s">
        <v>264</v>
      </c>
      <c r="B399" s="68" t="s">
        <v>3</v>
      </c>
      <c r="C399" s="68" t="s">
        <v>149</v>
      </c>
      <c r="D399" s="69" t="s">
        <v>185</v>
      </c>
      <c r="E399" s="68"/>
      <c r="F399" s="59"/>
      <c r="G399" s="59"/>
      <c r="H399" s="59"/>
      <c r="I399" s="59"/>
      <c r="J399" s="59"/>
      <c r="K399" s="133"/>
      <c r="L399" s="133"/>
      <c r="M399" s="59">
        <f aca="true" t="shared" si="209" ref="M399:U399">M400</f>
        <v>0</v>
      </c>
      <c r="N399" s="59">
        <f t="shared" si="209"/>
        <v>0</v>
      </c>
      <c r="O399" s="59">
        <f t="shared" si="209"/>
        <v>0</v>
      </c>
      <c r="P399" s="59">
        <f t="shared" si="209"/>
        <v>0</v>
      </c>
      <c r="Q399" s="59">
        <f t="shared" si="209"/>
        <v>0</v>
      </c>
      <c r="R399" s="59">
        <f t="shared" si="209"/>
        <v>0</v>
      </c>
      <c r="S399" s="59">
        <f t="shared" si="209"/>
        <v>0</v>
      </c>
      <c r="T399" s="59">
        <f t="shared" si="209"/>
        <v>0</v>
      </c>
      <c r="U399" s="59">
        <f t="shared" si="209"/>
        <v>0</v>
      </c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</row>
    <row r="400" spans="1:63" s="28" customFormat="1" ht="87.75" customHeight="1" hidden="1">
      <c r="A400" s="67" t="s">
        <v>257</v>
      </c>
      <c r="B400" s="68" t="s">
        <v>3</v>
      </c>
      <c r="C400" s="68" t="s">
        <v>149</v>
      </c>
      <c r="D400" s="69" t="s">
        <v>185</v>
      </c>
      <c r="E400" s="68" t="s">
        <v>143</v>
      </c>
      <c r="F400" s="59"/>
      <c r="G400" s="59"/>
      <c r="H400" s="59"/>
      <c r="I400" s="59"/>
      <c r="J400" s="59"/>
      <c r="K400" s="133"/>
      <c r="L400" s="133"/>
      <c r="M400" s="59"/>
      <c r="N400" s="59">
        <f>O400-M400</f>
        <v>0</v>
      </c>
      <c r="O400" s="59"/>
      <c r="P400" s="59"/>
      <c r="Q400" s="59"/>
      <c r="R400" s="59"/>
      <c r="S400" s="59"/>
      <c r="T400" s="59"/>
      <c r="U400" s="59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</row>
    <row r="401" spans="1:63" s="28" customFormat="1" ht="90.75" customHeight="1" hidden="1">
      <c r="A401" s="67" t="s">
        <v>263</v>
      </c>
      <c r="B401" s="68" t="s">
        <v>3</v>
      </c>
      <c r="C401" s="68" t="s">
        <v>149</v>
      </c>
      <c r="D401" s="69" t="s">
        <v>186</v>
      </c>
      <c r="E401" s="68"/>
      <c r="F401" s="70">
        <f aca="true" t="shared" si="210" ref="F401:U401">F402</f>
        <v>1505</v>
      </c>
      <c r="G401" s="70">
        <f t="shared" si="210"/>
        <v>-5</v>
      </c>
      <c r="H401" s="70">
        <f t="shared" si="210"/>
        <v>1500</v>
      </c>
      <c r="I401" s="70">
        <f t="shared" si="210"/>
        <v>0</v>
      </c>
      <c r="J401" s="70">
        <f t="shared" si="210"/>
        <v>1600</v>
      </c>
      <c r="K401" s="70">
        <f t="shared" si="210"/>
        <v>0</v>
      </c>
      <c r="L401" s="70">
        <f t="shared" si="210"/>
        <v>0</v>
      </c>
      <c r="M401" s="70">
        <f t="shared" si="210"/>
        <v>1600</v>
      </c>
      <c r="N401" s="70">
        <f t="shared" si="210"/>
        <v>-1600</v>
      </c>
      <c r="O401" s="70">
        <f t="shared" si="210"/>
        <v>0</v>
      </c>
      <c r="P401" s="70">
        <f t="shared" si="210"/>
        <v>0</v>
      </c>
      <c r="Q401" s="70">
        <f t="shared" si="210"/>
        <v>0</v>
      </c>
      <c r="R401" s="70">
        <f t="shared" si="210"/>
        <v>0</v>
      </c>
      <c r="S401" s="70">
        <f t="shared" si="210"/>
        <v>0</v>
      </c>
      <c r="T401" s="70">
        <f t="shared" si="210"/>
        <v>0</v>
      </c>
      <c r="U401" s="70">
        <f t="shared" si="210"/>
        <v>0</v>
      </c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</row>
    <row r="402" spans="1:63" s="28" customFormat="1" ht="89.25" customHeight="1" hidden="1">
      <c r="A402" s="67" t="s">
        <v>257</v>
      </c>
      <c r="B402" s="68" t="s">
        <v>3</v>
      </c>
      <c r="C402" s="68" t="s">
        <v>149</v>
      </c>
      <c r="D402" s="69" t="s">
        <v>186</v>
      </c>
      <c r="E402" s="68" t="s">
        <v>143</v>
      </c>
      <c r="F402" s="59">
        <v>1505</v>
      </c>
      <c r="G402" s="59">
        <f>H402-F402</f>
        <v>-5</v>
      </c>
      <c r="H402" s="59">
        <v>1500</v>
      </c>
      <c r="I402" s="59"/>
      <c r="J402" s="59">
        <v>1600</v>
      </c>
      <c r="K402" s="133"/>
      <c r="L402" s="133"/>
      <c r="M402" s="59">
        <v>1600</v>
      </c>
      <c r="N402" s="59">
        <f>O402-M402</f>
        <v>-1600</v>
      </c>
      <c r="O402" s="59"/>
      <c r="P402" s="59"/>
      <c r="Q402" s="59"/>
      <c r="R402" s="59"/>
      <c r="S402" s="59"/>
      <c r="T402" s="59"/>
      <c r="U402" s="59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</row>
    <row r="403" spans="1:63" s="28" customFormat="1" ht="90" customHeight="1">
      <c r="A403" s="67" t="s">
        <v>283</v>
      </c>
      <c r="B403" s="68" t="s">
        <v>3</v>
      </c>
      <c r="C403" s="68" t="s">
        <v>149</v>
      </c>
      <c r="D403" s="69" t="s">
        <v>281</v>
      </c>
      <c r="E403" s="68"/>
      <c r="F403" s="59"/>
      <c r="G403" s="59"/>
      <c r="H403" s="59"/>
      <c r="I403" s="59"/>
      <c r="J403" s="59"/>
      <c r="K403" s="133"/>
      <c r="L403" s="133"/>
      <c r="M403" s="59"/>
      <c r="N403" s="59">
        <f aca="true" t="shared" si="211" ref="N403:U403">N404+N406+N408</f>
        <v>20657</v>
      </c>
      <c r="O403" s="59">
        <f t="shared" si="211"/>
        <v>20657</v>
      </c>
      <c r="P403" s="59">
        <f t="shared" si="211"/>
        <v>0</v>
      </c>
      <c r="Q403" s="59">
        <f t="shared" si="211"/>
        <v>20657</v>
      </c>
      <c r="R403" s="59">
        <f t="shared" si="211"/>
        <v>0</v>
      </c>
      <c r="S403" s="59">
        <f t="shared" si="211"/>
        <v>0</v>
      </c>
      <c r="T403" s="59">
        <f t="shared" si="211"/>
        <v>20657</v>
      </c>
      <c r="U403" s="59">
        <f t="shared" si="211"/>
        <v>20657</v>
      </c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</row>
    <row r="404" spans="1:63" s="28" customFormat="1" ht="74.25" customHeight="1">
      <c r="A404" s="67" t="s">
        <v>298</v>
      </c>
      <c r="B404" s="68" t="s">
        <v>3</v>
      </c>
      <c r="C404" s="68" t="s">
        <v>149</v>
      </c>
      <c r="D404" s="69" t="s">
        <v>299</v>
      </c>
      <c r="E404" s="68"/>
      <c r="F404" s="59"/>
      <c r="G404" s="59"/>
      <c r="H404" s="59"/>
      <c r="I404" s="59"/>
      <c r="J404" s="59"/>
      <c r="K404" s="133"/>
      <c r="L404" s="133"/>
      <c r="M404" s="59"/>
      <c r="N404" s="59">
        <f aca="true" t="shared" si="212" ref="N404:U404">N405</f>
        <v>250</v>
      </c>
      <c r="O404" s="59">
        <f t="shared" si="212"/>
        <v>250</v>
      </c>
      <c r="P404" s="59">
        <f t="shared" si="212"/>
        <v>0</v>
      </c>
      <c r="Q404" s="59">
        <f t="shared" si="212"/>
        <v>250</v>
      </c>
      <c r="R404" s="59">
        <f t="shared" si="212"/>
        <v>0</v>
      </c>
      <c r="S404" s="59">
        <f t="shared" si="212"/>
        <v>0</v>
      </c>
      <c r="T404" s="59">
        <f t="shared" si="212"/>
        <v>250</v>
      </c>
      <c r="U404" s="59">
        <f t="shared" si="212"/>
        <v>250</v>
      </c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</row>
    <row r="405" spans="1:63" s="28" customFormat="1" ht="86.25" customHeight="1">
      <c r="A405" s="67" t="s">
        <v>257</v>
      </c>
      <c r="B405" s="68" t="s">
        <v>3</v>
      </c>
      <c r="C405" s="68" t="s">
        <v>149</v>
      </c>
      <c r="D405" s="69" t="s">
        <v>299</v>
      </c>
      <c r="E405" s="68" t="s">
        <v>143</v>
      </c>
      <c r="F405" s="59"/>
      <c r="G405" s="59"/>
      <c r="H405" s="59"/>
      <c r="I405" s="59"/>
      <c r="J405" s="59"/>
      <c r="K405" s="133"/>
      <c r="L405" s="133"/>
      <c r="M405" s="59"/>
      <c r="N405" s="59">
        <f>O405-M405</f>
        <v>250</v>
      </c>
      <c r="O405" s="59">
        <v>250</v>
      </c>
      <c r="P405" s="59"/>
      <c r="Q405" s="59">
        <v>250</v>
      </c>
      <c r="R405" s="136"/>
      <c r="S405" s="136"/>
      <c r="T405" s="59">
        <f>O405+R405</f>
        <v>250</v>
      </c>
      <c r="U405" s="59">
        <f>Q405+S405</f>
        <v>250</v>
      </c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</row>
    <row r="406" spans="1:63" s="28" customFormat="1" ht="119.25" customHeight="1">
      <c r="A406" s="99" t="s">
        <v>300</v>
      </c>
      <c r="B406" s="68" t="s">
        <v>3</v>
      </c>
      <c r="C406" s="68" t="s">
        <v>149</v>
      </c>
      <c r="D406" s="69" t="s">
        <v>301</v>
      </c>
      <c r="E406" s="68"/>
      <c r="F406" s="59"/>
      <c r="G406" s="59"/>
      <c r="H406" s="59"/>
      <c r="I406" s="59"/>
      <c r="J406" s="59"/>
      <c r="K406" s="133"/>
      <c r="L406" s="133"/>
      <c r="M406" s="59"/>
      <c r="N406" s="59">
        <f aca="true" t="shared" si="213" ref="N406:U406">N407</f>
        <v>250</v>
      </c>
      <c r="O406" s="59">
        <f t="shared" si="213"/>
        <v>250</v>
      </c>
      <c r="P406" s="59">
        <f t="shared" si="213"/>
        <v>0</v>
      </c>
      <c r="Q406" s="59">
        <f t="shared" si="213"/>
        <v>250</v>
      </c>
      <c r="R406" s="59">
        <f t="shared" si="213"/>
        <v>0</v>
      </c>
      <c r="S406" s="59">
        <f t="shared" si="213"/>
        <v>0</v>
      </c>
      <c r="T406" s="59">
        <f t="shared" si="213"/>
        <v>250</v>
      </c>
      <c r="U406" s="59">
        <f t="shared" si="213"/>
        <v>250</v>
      </c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</row>
    <row r="407" spans="1:63" s="28" customFormat="1" ht="84.75" customHeight="1">
      <c r="A407" s="67" t="s">
        <v>257</v>
      </c>
      <c r="B407" s="68" t="s">
        <v>3</v>
      </c>
      <c r="C407" s="68" t="s">
        <v>149</v>
      </c>
      <c r="D407" s="69" t="s">
        <v>301</v>
      </c>
      <c r="E407" s="68" t="s">
        <v>143</v>
      </c>
      <c r="F407" s="59"/>
      <c r="G407" s="59"/>
      <c r="H407" s="59"/>
      <c r="I407" s="59"/>
      <c r="J407" s="59"/>
      <c r="K407" s="133"/>
      <c r="L407" s="133"/>
      <c r="M407" s="59"/>
      <c r="N407" s="59">
        <f>O407-M407</f>
        <v>250</v>
      </c>
      <c r="O407" s="59">
        <v>250</v>
      </c>
      <c r="P407" s="59"/>
      <c r="Q407" s="59">
        <v>250</v>
      </c>
      <c r="R407" s="136"/>
      <c r="S407" s="136"/>
      <c r="T407" s="59">
        <f>O407+R407</f>
        <v>250</v>
      </c>
      <c r="U407" s="59">
        <f>Q407+S407</f>
        <v>250</v>
      </c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</row>
    <row r="408" spans="1:63" s="28" customFormat="1" ht="61.5" customHeight="1">
      <c r="A408" s="67" t="s">
        <v>284</v>
      </c>
      <c r="B408" s="68" t="s">
        <v>3</v>
      </c>
      <c r="C408" s="68" t="s">
        <v>149</v>
      </c>
      <c r="D408" s="69" t="s">
        <v>282</v>
      </c>
      <c r="E408" s="68"/>
      <c r="F408" s="59"/>
      <c r="G408" s="59"/>
      <c r="H408" s="59"/>
      <c r="I408" s="59"/>
      <c r="J408" s="59"/>
      <c r="K408" s="133"/>
      <c r="L408" s="133"/>
      <c r="M408" s="59"/>
      <c r="N408" s="59">
        <f aca="true" t="shared" si="214" ref="N408:U408">N409</f>
        <v>20157</v>
      </c>
      <c r="O408" s="59">
        <f t="shared" si="214"/>
        <v>20157</v>
      </c>
      <c r="P408" s="59">
        <f t="shared" si="214"/>
        <v>0</v>
      </c>
      <c r="Q408" s="59">
        <f t="shared" si="214"/>
        <v>20157</v>
      </c>
      <c r="R408" s="59">
        <f t="shared" si="214"/>
        <v>0</v>
      </c>
      <c r="S408" s="59">
        <f t="shared" si="214"/>
        <v>0</v>
      </c>
      <c r="T408" s="59">
        <f t="shared" si="214"/>
        <v>20157</v>
      </c>
      <c r="U408" s="59">
        <f t="shared" si="214"/>
        <v>20157</v>
      </c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</row>
    <row r="409" spans="1:63" s="28" customFormat="1" ht="56.25" customHeight="1">
      <c r="A409" s="67" t="s">
        <v>137</v>
      </c>
      <c r="B409" s="68" t="s">
        <v>3</v>
      </c>
      <c r="C409" s="68" t="s">
        <v>149</v>
      </c>
      <c r="D409" s="69" t="s">
        <v>282</v>
      </c>
      <c r="E409" s="68" t="s">
        <v>138</v>
      </c>
      <c r="F409" s="59"/>
      <c r="G409" s="59"/>
      <c r="H409" s="59"/>
      <c r="I409" s="59"/>
      <c r="J409" s="59"/>
      <c r="K409" s="133"/>
      <c r="L409" s="133"/>
      <c r="M409" s="59"/>
      <c r="N409" s="59">
        <f>O409-M409</f>
        <v>20157</v>
      </c>
      <c r="O409" s="59">
        <f>20022+135</f>
        <v>20157</v>
      </c>
      <c r="P409" s="59"/>
      <c r="Q409" s="59">
        <f>20022+135</f>
        <v>20157</v>
      </c>
      <c r="R409" s="136"/>
      <c r="S409" s="136"/>
      <c r="T409" s="59">
        <f>O409+R409</f>
        <v>20157</v>
      </c>
      <c r="U409" s="59">
        <f>Q409+S409</f>
        <v>20157</v>
      </c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</row>
    <row r="410" spans="1:63" s="28" customFormat="1" ht="45" customHeight="1">
      <c r="A410" s="67" t="s">
        <v>317</v>
      </c>
      <c r="B410" s="68" t="s">
        <v>3</v>
      </c>
      <c r="C410" s="68" t="s">
        <v>149</v>
      </c>
      <c r="D410" s="69" t="s">
        <v>302</v>
      </c>
      <c r="E410" s="68"/>
      <c r="F410" s="59"/>
      <c r="G410" s="59"/>
      <c r="H410" s="59"/>
      <c r="I410" s="59"/>
      <c r="J410" s="59"/>
      <c r="K410" s="133"/>
      <c r="L410" s="133"/>
      <c r="M410" s="59"/>
      <c r="N410" s="59">
        <f aca="true" t="shared" si="215" ref="N410:U410">N411</f>
        <v>342</v>
      </c>
      <c r="O410" s="59">
        <f t="shared" si="215"/>
        <v>342</v>
      </c>
      <c r="P410" s="59">
        <f t="shared" si="215"/>
        <v>0</v>
      </c>
      <c r="Q410" s="59">
        <f t="shared" si="215"/>
        <v>342</v>
      </c>
      <c r="R410" s="59">
        <f t="shared" si="215"/>
        <v>0</v>
      </c>
      <c r="S410" s="59">
        <f t="shared" si="215"/>
        <v>0</v>
      </c>
      <c r="T410" s="59">
        <f t="shared" si="215"/>
        <v>342</v>
      </c>
      <c r="U410" s="59">
        <f t="shared" si="215"/>
        <v>342</v>
      </c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</row>
    <row r="411" spans="1:63" s="28" customFormat="1" ht="75" customHeight="1">
      <c r="A411" s="67" t="s">
        <v>137</v>
      </c>
      <c r="B411" s="68" t="s">
        <v>3</v>
      </c>
      <c r="C411" s="68" t="s">
        <v>149</v>
      </c>
      <c r="D411" s="69" t="s">
        <v>302</v>
      </c>
      <c r="E411" s="68" t="s">
        <v>138</v>
      </c>
      <c r="F411" s="59"/>
      <c r="G411" s="59"/>
      <c r="H411" s="59"/>
      <c r="I411" s="59"/>
      <c r="J411" s="59"/>
      <c r="K411" s="133"/>
      <c r="L411" s="133"/>
      <c r="M411" s="59"/>
      <c r="N411" s="59">
        <f>O411-M411</f>
        <v>342</v>
      </c>
      <c r="O411" s="59">
        <v>342</v>
      </c>
      <c r="P411" s="59"/>
      <c r="Q411" s="59">
        <v>342</v>
      </c>
      <c r="R411" s="136"/>
      <c r="S411" s="136"/>
      <c r="T411" s="59">
        <f>O411+R411</f>
        <v>342</v>
      </c>
      <c r="U411" s="59">
        <f>Q411+S411</f>
        <v>342</v>
      </c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</row>
    <row r="412" spans="1:63" s="28" customFormat="1" ht="54" customHeight="1">
      <c r="A412" s="67" t="s">
        <v>311</v>
      </c>
      <c r="B412" s="68" t="s">
        <v>3</v>
      </c>
      <c r="C412" s="68" t="s">
        <v>149</v>
      </c>
      <c r="D412" s="69" t="s">
        <v>287</v>
      </c>
      <c r="E412" s="68"/>
      <c r="F412" s="59"/>
      <c r="G412" s="59"/>
      <c r="H412" s="59"/>
      <c r="I412" s="59"/>
      <c r="J412" s="59"/>
      <c r="K412" s="133"/>
      <c r="L412" s="133"/>
      <c r="M412" s="59"/>
      <c r="N412" s="59">
        <f aca="true" t="shared" si="216" ref="N412:U413">N413</f>
        <v>81</v>
      </c>
      <c r="O412" s="59">
        <f t="shared" si="216"/>
        <v>81</v>
      </c>
      <c r="P412" s="59">
        <f t="shared" si="216"/>
        <v>0</v>
      </c>
      <c r="Q412" s="59">
        <f t="shared" si="216"/>
        <v>0</v>
      </c>
      <c r="R412" s="59">
        <f t="shared" si="216"/>
        <v>0</v>
      </c>
      <c r="S412" s="59">
        <f t="shared" si="216"/>
        <v>0</v>
      </c>
      <c r="T412" s="59">
        <f t="shared" si="216"/>
        <v>81</v>
      </c>
      <c r="U412" s="59">
        <f t="shared" si="216"/>
        <v>0</v>
      </c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</row>
    <row r="413" spans="1:63" s="28" customFormat="1" ht="57" customHeight="1">
      <c r="A413" s="67" t="s">
        <v>312</v>
      </c>
      <c r="B413" s="68" t="s">
        <v>3</v>
      </c>
      <c r="C413" s="68" t="s">
        <v>149</v>
      </c>
      <c r="D413" s="69" t="s">
        <v>288</v>
      </c>
      <c r="E413" s="68"/>
      <c r="F413" s="59"/>
      <c r="G413" s="59"/>
      <c r="H413" s="59"/>
      <c r="I413" s="59"/>
      <c r="J413" s="59"/>
      <c r="K413" s="133"/>
      <c r="L413" s="133"/>
      <c r="M413" s="59"/>
      <c r="N413" s="59">
        <f t="shared" si="216"/>
        <v>81</v>
      </c>
      <c r="O413" s="59">
        <f t="shared" si="216"/>
        <v>81</v>
      </c>
      <c r="P413" s="59">
        <f t="shared" si="216"/>
        <v>0</v>
      </c>
      <c r="Q413" s="59">
        <f t="shared" si="216"/>
        <v>0</v>
      </c>
      <c r="R413" s="59">
        <f t="shared" si="216"/>
        <v>0</v>
      </c>
      <c r="S413" s="59">
        <f t="shared" si="216"/>
        <v>0</v>
      </c>
      <c r="T413" s="59">
        <f t="shared" si="216"/>
        <v>81</v>
      </c>
      <c r="U413" s="59">
        <f t="shared" si="216"/>
        <v>0</v>
      </c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</row>
    <row r="414" spans="1:63" s="28" customFormat="1" ht="47.25" customHeight="1">
      <c r="A414" s="67" t="s">
        <v>137</v>
      </c>
      <c r="B414" s="68" t="s">
        <v>3</v>
      </c>
      <c r="C414" s="68" t="s">
        <v>149</v>
      </c>
      <c r="D414" s="69" t="s">
        <v>288</v>
      </c>
      <c r="E414" s="68" t="s">
        <v>138</v>
      </c>
      <c r="F414" s="59"/>
      <c r="G414" s="59"/>
      <c r="H414" s="59"/>
      <c r="I414" s="59"/>
      <c r="J414" s="59"/>
      <c r="K414" s="133"/>
      <c r="L414" s="133"/>
      <c r="M414" s="59"/>
      <c r="N414" s="59">
        <f>O414-M414</f>
        <v>81</v>
      </c>
      <c r="O414" s="59">
        <f>39+42</f>
        <v>81</v>
      </c>
      <c r="P414" s="59"/>
      <c r="Q414" s="59"/>
      <c r="R414" s="136"/>
      <c r="S414" s="136"/>
      <c r="T414" s="59">
        <f>O414+R414</f>
        <v>81</v>
      </c>
      <c r="U414" s="59">
        <f>Q414+S414</f>
        <v>0</v>
      </c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</row>
    <row r="415" spans="1:63" s="28" customFormat="1" ht="19.5" customHeight="1">
      <c r="A415" s="53" t="s">
        <v>327</v>
      </c>
      <c r="B415" s="68"/>
      <c r="C415" s="68"/>
      <c r="D415" s="69"/>
      <c r="E415" s="68"/>
      <c r="F415" s="56">
        <v>430993</v>
      </c>
      <c r="G415" s="56">
        <f>H415-F415</f>
        <v>-207037</v>
      </c>
      <c r="H415" s="56">
        <v>223956</v>
      </c>
      <c r="I415" s="56"/>
      <c r="J415" s="56">
        <v>460000</v>
      </c>
      <c r="K415" s="133"/>
      <c r="L415" s="133"/>
      <c r="M415" s="56">
        <v>460000</v>
      </c>
      <c r="N415" s="56">
        <f>O415-M415</f>
        <v>-213694</v>
      </c>
      <c r="O415" s="56">
        <v>246306</v>
      </c>
      <c r="P415" s="56"/>
      <c r="Q415" s="56">
        <v>284324</v>
      </c>
      <c r="R415" s="56"/>
      <c r="S415" s="56"/>
      <c r="T415" s="56">
        <v>246306</v>
      </c>
      <c r="U415" s="56">
        <v>284324</v>
      </c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</row>
    <row r="416" spans="1:21" ht="15.75">
      <c r="A416" s="42"/>
      <c r="B416" s="43"/>
      <c r="C416" s="43"/>
      <c r="D416" s="44"/>
      <c r="E416" s="43"/>
      <c r="F416" s="45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</row>
    <row r="417" spans="1:63" s="8" customFormat="1" ht="43.5" customHeight="1">
      <c r="A417" s="48" t="s">
        <v>118</v>
      </c>
      <c r="B417" s="49"/>
      <c r="C417" s="49"/>
      <c r="D417" s="50"/>
      <c r="E417" s="49"/>
      <c r="F417" s="51" t="e">
        <f aca="true" t="shared" si="217" ref="F417:U417">F21+F67+F82+F136+F206+F217+F280+F312+F356+F415</f>
        <v>#REF!</v>
      </c>
      <c r="G417" s="51" t="e">
        <f t="shared" si="217"/>
        <v>#REF!</v>
      </c>
      <c r="H417" s="51" t="e">
        <f t="shared" si="217"/>
        <v>#REF!</v>
      </c>
      <c r="I417" s="51" t="e">
        <f t="shared" si="217"/>
        <v>#REF!</v>
      </c>
      <c r="J417" s="51" t="e">
        <f t="shared" si="217"/>
        <v>#REF!</v>
      </c>
      <c r="K417" s="51" t="e">
        <f t="shared" si="217"/>
        <v>#REF!</v>
      </c>
      <c r="L417" s="51" t="e">
        <f t="shared" si="217"/>
        <v>#REF!</v>
      </c>
      <c r="M417" s="51" t="e">
        <f t="shared" si="217"/>
        <v>#REF!</v>
      </c>
      <c r="N417" s="51">
        <f t="shared" si="217"/>
        <v>-3666180</v>
      </c>
      <c r="O417" s="51">
        <f t="shared" si="217"/>
        <v>5523207</v>
      </c>
      <c r="P417" s="51">
        <f t="shared" si="217"/>
        <v>68735</v>
      </c>
      <c r="Q417" s="51">
        <f t="shared" si="217"/>
        <v>5561225</v>
      </c>
      <c r="R417" s="51">
        <f t="shared" si="217"/>
        <v>0</v>
      </c>
      <c r="S417" s="51">
        <f t="shared" si="217"/>
        <v>0</v>
      </c>
      <c r="T417" s="51">
        <f t="shared" si="217"/>
        <v>5523207</v>
      </c>
      <c r="U417" s="51">
        <f t="shared" si="217"/>
        <v>5561225</v>
      </c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</row>
    <row r="418" spans="1:5" ht="39" customHeight="1">
      <c r="A418" s="29"/>
      <c r="B418" s="30"/>
      <c r="C418" s="30"/>
      <c r="D418" s="31"/>
      <c r="E418" s="30"/>
    </row>
    <row r="419" spans="1:21" ht="36" customHeight="1">
      <c r="A419" s="142" t="s">
        <v>252</v>
      </c>
      <c r="B419" s="142"/>
      <c r="C419" s="142"/>
      <c r="D419" s="137"/>
      <c r="E419" s="154"/>
      <c r="F419" s="154"/>
      <c r="G419" s="154"/>
      <c r="H419" s="154"/>
      <c r="I419" s="154"/>
      <c r="J419" s="154"/>
      <c r="K419" s="154"/>
      <c r="L419" s="154"/>
      <c r="M419" s="154"/>
      <c r="N419" s="154"/>
      <c r="O419" s="154"/>
      <c r="P419" s="138"/>
      <c r="Q419" s="138"/>
      <c r="R419" s="138"/>
      <c r="S419" s="138"/>
      <c r="T419" s="138"/>
      <c r="U419" s="138"/>
    </row>
    <row r="420" spans="1:63" s="12" customFormat="1" ht="22.5">
      <c r="A420" s="139" t="s">
        <v>253</v>
      </c>
      <c r="B420" s="140"/>
      <c r="C420" s="140"/>
      <c r="D420" s="141"/>
      <c r="E420" s="173" t="s">
        <v>308</v>
      </c>
      <c r="F420" s="173"/>
      <c r="G420" s="173"/>
      <c r="H420" s="173"/>
      <c r="I420" s="173"/>
      <c r="J420" s="173"/>
      <c r="K420" s="173"/>
      <c r="L420" s="173"/>
      <c r="M420" s="173"/>
      <c r="N420" s="173"/>
      <c r="O420" s="173"/>
      <c r="P420" s="173"/>
      <c r="Q420" s="173"/>
      <c r="R420" s="173"/>
      <c r="S420" s="173"/>
      <c r="T420" s="173"/>
      <c r="U420" s="173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</row>
    <row r="422" spans="13:17" ht="15">
      <c r="M422" s="6" t="e">
        <f>M417-M415</f>
        <v>#REF!</v>
      </c>
      <c r="N422" s="6"/>
      <c r="O422" s="6"/>
      <c r="P422" s="6">
        <f>P417-P415</f>
        <v>68735</v>
      </c>
      <c r="Q422" s="6"/>
    </row>
    <row r="424" ht="15">
      <c r="A424" s="32"/>
    </row>
    <row r="425" spans="2:5" ht="15">
      <c r="B425" s="33"/>
      <c r="C425" s="33"/>
      <c r="D425" s="34"/>
      <c r="E425" s="33"/>
    </row>
  </sheetData>
  <sheetProtection/>
  <mergeCells count="36">
    <mergeCell ref="A4:U4"/>
    <mergeCell ref="A2:U2"/>
    <mergeCell ref="A3:U3"/>
    <mergeCell ref="E420:U420"/>
    <mergeCell ref="A6:U6"/>
    <mergeCell ref="A7:U7"/>
    <mergeCell ref="A8:U8"/>
    <mergeCell ref="A11:U13"/>
    <mergeCell ref="T17:T19"/>
    <mergeCell ref="U17:U19"/>
    <mergeCell ref="R16:S16"/>
    <mergeCell ref="R17:R19"/>
    <mergeCell ref="S17:S19"/>
    <mergeCell ref="T16:U16"/>
    <mergeCell ref="O17:O19"/>
    <mergeCell ref="K16:L16"/>
    <mergeCell ref="K17:K19"/>
    <mergeCell ref="L17:L19"/>
    <mergeCell ref="N17:N19"/>
    <mergeCell ref="M16:M19"/>
    <mergeCell ref="G16:I16"/>
    <mergeCell ref="E16:E19"/>
    <mergeCell ref="J16:J19"/>
    <mergeCell ref="G17:G19"/>
    <mergeCell ref="H17:H19"/>
    <mergeCell ref="I17:I19"/>
    <mergeCell ref="A419:C419"/>
    <mergeCell ref="D16:D19"/>
    <mergeCell ref="A16:A19"/>
    <mergeCell ref="P17:P19"/>
    <mergeCell ref="N16:Q16"/>
    <mergeCell ref="Q17:Q19"/>
    <mergeCell ref="E419:O419"/>
    <mergeCell ref="B16:B19"/>
    <mergeCell ref="C16:C19"/>
    <mergeCell ref="F16:F19"/>
  </mergeCells>
  <printOptions/>
  <pageMargins left="0.82" right="0.21" top="0.2755905511811024" bottom="0.2362204724409449" header="0.2755905511811024" footer="0.24"/>
  <pageSetup horizontalDpi="600" verticalDpi="600" orientation="portrait" paperSize="9" scale="75" r:id="rId1"/>
  <rowBreaks count="13" manualBreakCount="13">
    <brk id="33" max="20" man="1"/>
    <brk id="55" max="20" man="1"/>
    <brk id="79" max="20" man="1"/>
    <brk id="122" max="20" man="1"/>
    <brk id="155" max="20" man="1"/>
    <brk id="170" max="20" man="1"/>
    <brk id="181" max="20" man="1"/>
    <brk id="225" max="20" man="1"/>
    <brk id="253" max="20" man="1"/>
    <brk id="271" max="20" man="1"/>
    <brk id="305" max="20" man="1"/>
    <brk id="335" max="20" man="1"/>
    <brk id="37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осянкина</cp:lastModifiedBy>
  <cp:lastPrinted>2010-02-16T11:42:04Z</cp:lastPrinted>
  <dcterms:created xsi:type="dcterms:W3CDTF">2007-01-25T06:11:58Z</dcterms:created>
  <dcterms:modified xsi:type="dcterms:W3CDTF">2010-02-16T11:42:05Z</dcterms:modified>
  <cp:category/>
  <cp:version/>
  <cp:contentType/>
  <cp:contentStatus/>
</cp:coreProperties>
</file>