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8505" windowWidth="15180" windowHeight="1170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Лист1!$A$1:$BB$110</definedName>
  </definedNames>
  <calcPr calcId="145621"/>
</workbook>
</file>

<file path=xl/calcChain.xml><?xml version="1.0" encoding="utf-8"?>
<calcChain xmlns="http://schemas.openxmlformats.org/spreadsheetml/2006/main">
  <c r="Q106" i="1" l="1"/>
  <c r="Q51" i="1" l="1"/>
  <c r="AF63" i="1" l="1"/>
  <c r="V116" i="1"/>
  <c r="Q77" i="1"/>
  <c r="Q28" i="1" l="1"/>
  <c r="Q37" i="1" l="1"/>
  <c r="Q97" i="1" l="1"/>
  <c r="Q15" i="1"/>
  <c r="Q101" i="1" l="1"/>
  <c r="AF109" i="1"/>
  <c r="Q63" i="1" l="1"/>
  <c r="Q26" i="1" l="1"/>
  <c r="Q104" i="1"/>
  <c r="Q32" i="1"/>
  <c r="AF32" i="1"/>
  <c r="Q20" i="1"/>
  <c r="Q57" i="1" l="1"/>
  <c r="Q100" i="1"/>
  <c r="Q42" i="1"/>
  <c r="Q67" i="1" l="1"/>
  <c r="Q82" i="1" l="1"/>
  <c r="P60" i="1" l="1"/>
  <c r="P63" i="1"/>
  <c r="N37" i="1" l="1"/>
  <c r="N78" i="1" l="1"/>
  <c r="V100" i="1" l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D98" i="1"/>
  <c r="AT100" i="1"/>
  <c r="BB100" i="1" s="1"/>
  <c r="AD100" i="1"/>
  <c r="AL100" i="1" s="1"/>
  <c r="N100" i="1"/>
  <c r="J100" i="1"/>
  <c r="BB99" i="1"/>
  <c r="AL99" i="1"/>
  <c r="AL98" i="1" s="1"/>
  <c r="V99" i="1"/>
  <c r="BB98" i="1" l="1"/>
  <c r="V98" i="1"/>
  <c r="N104" i="1"/>
  <c r="V89" i="1"/>
  <c r="N74" i="1"/>
  <c r="N81" i="1"/>
  <c r="N82" i="1"/>
  <c r="N15" i="1"/>
  <c r="N28" i="1"/>
  <c r="N43" i="1"/>
  <c r="N51" i="1"/>
  <c r="N27" i="1"/>
  <c r="N97" i="1" l="1"/>
  <c r="AD66" i="1" l="1"/>
  <c r="N71" i="1"/>
  <c r="N66" i="1"/>
  <c r="N60" i="1"/>
  <c r="N38" i="1"/>
  <c r="N90" i="1" l="1"/>
  <c r="AT101" i="1"/>
  <c r="AD101" i="1"/>
  <c r="AD57" i="1"/>
  <c r="N57" i="1"/>
  <c r="N106" i="1"/>
  <c r="N101" i="1"/>
  <c r="N58" i="1"/>
  <c r="N87" i="1"/>
  <c r="N20" i="1" l="1"/>
  <c r="N47" i="1" l="1"/>
  <c r="N67" i="1"/>
  <c r="N32" i="1" l="1"/>
  <c r="N86" i="1" l="1"/>
  <c r="N77" i="1"/>
  <c r="M58" i="1" l="1"/>
  <c r="M15" i="1" l="1"/>
  <c r="M77" i="1" l="1"/>
  <c r="M23" i="1" l="1"/>
  <c r="AC60" i="1" l="1"/>
  <c r="L60" i="1" l="1"/>
  <c r="AC57" i="1" l="1"/>
  <c r="L57" i="1"/>
  <c r="L71" i="1" l="1"/>
  <c r="L37" i="1" l="1"/>
  <c r="L78" i="1"/>
  <c r="L82" i="1"/>
  <c r="L77" i="1"/>
  <c r="L15" i="1" l="1"/>
  <c r="L20" i="1"/>
  <c r="K106" i="1" l="1"/>
  <c r="K51" i="1"/>
  <c r="K32" i="1" l="1"/>
  <c r="K28" i="1" l="1"/>
  <c r="AR32" i="1"/>
  <c r="AB32" i="1"/>
  <c r="AR23" i="1"/>
  <c r="AB23" i="1"/>
  <c r="K71" i="1"/>
  <c r="K66" i="1" l="1"/>
  <c r="K15" i="1"/>
  <c r="AR82" i="1" l="1"/>
  <c r="AB82" i="1"/>
  <c r="K82" i="1"/>
  <c r="K60" i="1"/>
  <c r="K67" i="1"/>
  <c r="BB40" i="1" l="1"/>
  <c r="AL40" i="1"/>
  <c r="V40" i="1"/>
  <c r="J36" i="1"/>
  <c r="BB43" i="1"/>
  <c r="AL43" i="1"/>
  <c r="V43" i="1"/>
  <c r="BB38" i="1"/>
  <c r="AL38" i="1"/>
  <c r="V38" i="1"/>
  <c r="AL116" i="1" l="1"/>
  <c r="J97" i="1" l="1"/>
  <c r="J15" i="1"/>
  <c r="J82" i="1" l="1"/>
  <c r="AQ77" i="1" l="1"/>
  <c r="AA77" i="1"/>
  <c r="J77" i="1"/>
  <c r="AQ109" i="1" l="1"/>
  <c r="AA106" i="1"/>
  <c r="J66" i="1" l="1"/>
  <c r="AQ32" i="1" l="1"/>
  <c r="AA32" i="1"/>
  <c r="J32" i="1" l="1"/>
  <c r="J20" i="1" l="1"/>
  <c r="AA72" i="1" l="1"/>
  <c r="J72" i="1"/>
  <c r="I66" i="1" l="1"/>
  <c r="H82" i="1" l="1"/>
  <c r="D75" i="1"/>
  <c r="H75" i="1"/>
  <c r="V77" i="1"/>
  <c r="AP32" i="1" l="1"/>
  <c r="Z32" i="1"/>
  <c r="H32" i="1" l="1"/>
  <c r="H33" i="1"/>
  <c r="H15" i="1" l="1"/>
  <c r="H66" i="1" l="1"/>
  <c r="G32" i="1" l="1"/>
  <c r="G106" i="1" l="1"/>
  <c r="G71" i="1" l="1"/>
  <c r="G60" i="1"/>
  <c r="G66" i="1"/>
  <c r="F72" i="1" l="1"/>
  <c r="F63" i="1" l="1"/>
  <c r="F20" i="1" l="1"/>
  <c r="Y20" i="1" l="1"/>
  <c r="Y35" i="1" l="1"/>
  <c r="F35" i="1"/>
  <c r="F90" i="1"/>
  <c r="F101" i="1"/>
  <c r="F57" i="1"/>
  <c r="F42" i="1"/>
  <c r="F109" i="1"/>
  <c r="F106" i="1"/>
  <c r="F87" i="1"/>
  <c r="Y90" i="1"/>
  <c r="Y101" i="1"/>
  <c r="F47" i="1" l="1"/>
  <c r="F32" i="1" l="1"/>
  <c r="F78" i="1" l="1"/>
  <c r="F37" i="1"/>
  <c r="F97" i="1" l="1"/>
  <c r="AO32" i="1"/>
  <c r="Y32" i="1" l="1"/>
  <c r="F23" i="1"/>
  <c r="F51" i="1" l="1"/>
  <c r="F52" i="1"/>
  <c r="F82" i="1" l="1"/>
  <c r="F77" i="1"/>
  <c r="F15" i="1" l="1"/>
  <c r="E71" i="1" l="1"/>
  <c r="E66" i="1"/>
  <c r="X32" i="1" l="1"/>
  <c r="X31" i="1"/>
  <c r="AN63" i="1"/>
  <c r="E74" i="1" l="1"/>
  <c r="E67" i="1"/>
  <c r="E51" i="1"/>
  <c r="AN51" i="1" l="1"/>
  <c r="X51" i="1"/>
  <c r="X82" i="1"/>
  <c r="E28" i="1" l="1"/>
  <c r="E106" i="1" l="1"/>
  <c r="E57" i="1"/>
  <c r="E26" i="1" l="1"/>
  <c r="E104" i="1"/>
  <c r="E32" i="1"/>
  <c r="X27" i="1"/>
  <c r="E27" i="1" l="1"/>
  <c r="AN66" i="1"/>
  <c r="X63" i="1"/>
  <c r="E63" i="1"/>
  <c r="AN20" i="1"/>
  <c r="X20" i="1"/>
  <c r="E20" i="1"/>
  <c r="D82" i="1" l="1"/>
  <c r="AL85" i="1" l="1"/>
  <c r="AL86" i="1"/>
  <c r="AM79" i="1" l="1"/>
  <c r="W79" i="1"/>
  <c r="D79" i="1"/>
  <c r="D116" i="1" l="1"/>
  <c r="AD48" i="1" l="1"/>
  <c r="AL15" i="1" l="1"/>
  <c r="V15" i="1"/>
  <c r="V51" i="1" l="1"/>
  <c r="V19" i="1" l="1"/>
  <c r="I70" i="1"/>
  <c r="V74" i="1" l="1"/>
  <c r="BB74" i="1"/>
  <c r="AL74" i="1"/>
  <c r="AL82" i="1" l="1"/>
  <c r="BB116" i="1" l="1"/>
  <c r="D88" i="1" l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90" i="1"/>
  <c r="AL90" i="1"/>
  <c r="V90" i="1"/>
  <c r="BB89" i="1"/>
  <c r="AL89" i="1"/>
  <c r="BB88" i="1" l="1"/>
  <c r="AL88" i="1"/>
  <c r="V88" i="1"/>
  <c r="E83" i="1" l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D83" i="1"/>
  <c r="BB86" i="1"/>
  <c r="V86" i="1"/>
  <c r="BB85" i="1"/>
  <c r="V85" i="1"/>
  <c r="BB84" i="1"/>
  <c r="AL84" i="1"/>
  <c r="V84" i="1"/>
  <c r="V83" i="1" l="1"/>
  <c r="AL83" i="1"/>
  <c r="BB83" i="1"/>
  <c r="G102" i="1" l="1"/>
  <c r="G53" i="1"/>
  <c r="H64" i="1" l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X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E64" i="1"/>
  <c r="G64" i="1"/>
  <c r="D64" i="1"/>
  <c r="F64" i="1" l="1"/>
  <c r="Y64" i="1"/>
  <c r="AN70" i="1" l="1"/>
  <c r="X70" i="1"/>
  <c r="BB69" i="1"/>
  <c r="BB67" i="1"/>
  <c r="BB66" i="1"/>
  <c r="BB65" i="1"/>
  <c r="BB63" i="1"/>
  <c r="BB62" i="1"/>
  <c r="AL69" i="1"/>
  <c r="AL67" i="1"/>
  <c r="AL65" i="1"/>
  <c r="AL63" i="1"/>
  <c r="AL62" i="1"/>
  <c r="BB64" i="1" l="1"/>
  <c r="BB61" i="1"/>
  <c r="AL61" i="1"/>
  <c r="V57" i="1" l="1"/>
  <c r="D53" i="1" l="1"/>
  <c r="BB96" i="1"/>
  <c r="AL96" i="1"/>
  <c r="V96" i="1"/>
  <c r="X53" i="1" l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F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W64" i="1" l="1"/>
  <c r="AL66" i="1"/>
  <c r="AL64" i="1" s="1"/>
  <c r="W53" i="1" l="1"/>
  <c r="AL60" i="1"/>
  <c r="V37" i="1" l="1"/>
  <c r="V39" i="1"/>
  <c r="V41" i="1"/>
  <c r="V42" i="1"/>
  <c r="V44" i="1"/>
  <c r="V47" i="1"/>
  <c r="V49" i="1"/>
  <c r="V50" i="1"/>
  <c r="V67" i="1" l="1"/>
  <c r="K75" i="1" l="1"/>
  <c r="I107" i="1" l="1"/>
  <c r="I102" i="1"/>
  <c r="I93" i="1"/>
  <c r="I75" i="1"/>
  <c r="I68" i="1"/>
  <c r="I61" i="1"/>
  <c r="I48" i="1"/>
  <c r="I45" i="1"/>
  <c r="I36" i="1"/>
  <c r="I25" i="1"/>
  <c r="I22" i="1"/>
  <c r="I14" i="1"/>
  <c r="I18" i="1" l="1"/>
  <c r="I31" i="1"/>
  <c r="I59" i="1"/>
  <c r="I110" i="1" l="1"/>
  <c r="Z87" i="1"/>
  <c r="AL72" i="1" l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AM53" i="1"/>
  <c r="BB57" i="1"/>
  <c r="BB56" i="1"/>
  <c r="BB55" i="1"/>
  <c r="BB54" i="1"/>
  <c r="AL57" i="1"/>
  <c r="AL56" i="1"/>
  <c r="AL55" i="1"/>
  <c r="AL54" i="1"/>
  <c r="AL53" i="1" l="1"/>
  <c r="BB53" i="1"/>
  <c r="E75" i="1" l="1"/>
  <c r="F75" i="1"/>
  <c r="G75" i="1"/>
  <c r="J75" i="1"/>
  <c r="L75" i="1"/>
  <c r="M75" i="1"/>
  <c r="N75" i="1"/>
  <c r="O75" i="1"/>
  <c r="P75" i="1"/>
  <c r="Q75" i="1"/>
  <c r="R75" i="1"/>
  <c r="S75" i="1"/>
  <c r="T75" i="1"/>
  <c r="U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V69" i="1" l="1"/>
  <c r="V68" i="1" s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U68" i="1"/>
  <c r="T68" i="1"/>
  <c r="S68" i="1"/>
  <c r="R68" i="1"/>
  <c r="Q68" i="1"/>
  <c r="P68" i="1"/>
  <c r="O68" i="1"/>
  <c r="N68" i="1"/>
  <c r="M68" i="1"/>
  <c r="L68" i="1"/>
  <c r="K68" i="1"/>
  <c r="J68" i="1"/>
  <c r="H68" i="1"/>
  <c r="G68" i="1"/>
  <c r="F68" i="1"/>
  <c r="E68" i="1"/>
  <c r="D68" i="1"/>
  <c r="BB23" i="1"/>
  <c r="AL23" i="1"/>
  <c r="BB44" i="1"/>
  <c r="BB42" i="1"/>
  <c r="BB41" i="1"/>
  <c r="BB39" i="1"/>
  <c r="BB37" i="1"/>
  <c r="AL44" i="1"/>
  <c r="AL42" i="1"/>
  <c r="AL41" i="1"/>
  <c r="AL39" i="1"/>
  <c r="AL37" i="1"/>
  <c r="E36" i="1"/>
  <c r="F36" i="1"/>
  <c r="G36" i="1"/>
  <c r="H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107" i="1"/>
  <c r="BB68" i="1" l="1"/>
  <c r="AL68" i="1"/>
  <c r="V22" i="1"/>
  <c r="V36" i="1"/>
  <c r="AL47" i="1"/>
  <c r="AL46" i="1"/>
  <c r="AA107" i="1" l="1"/>
  <c r="AB107" i="1"/>
  <c r="V55" i="1" l="1"/>
  <c r="V56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3" i="1" l="1"/>
  <c r="V54" i="1" l="1"/>
  <c r="V53" i="1" s="1"/>
  <c r="E53" i="1"/>
  <c r="M18" i="1" l="1"/>
  <c r="AE107" i="1" l="1"/>
  <c r="AE102" i="1"/>
  <c r="AE93" i="1"/>
  <c r="AE70" i="1"/>
  <c r="AE61" i="1"/>
  <c r="AE48" i="1"/>
  <c r="AE45" i="1"/>
  <c r="AE36" i="1"/>
  <c r="AE25" i="1"/>
  <c r="AE59" i="1" l="1"/>
  <c r="AE110" i="1" l="1"/>
  <c r="N116" i="1" s="1"/>
  <c r="M31" i="1"/>
  <c r="L31" i="1" l="1"/>
  <c r="L18" i="1"/>
  <c r="AY107" i="1" l="1"/>
  <c r="AX107" i="1"/>
  <c r="AW107" i="1"/>
  <c r="AV107" i="1"/>
  <c r="AU107" i="1"/>
  <c r="AT107" i="1"/>
  <c r="AY102" i="1"/>
  <c r="AX102" i="1"/>
  <c r="AW102" i="1"/>
  <c r="AV102" i="1"/>
  <c r="AU102" i="1"/>
  <c r="AT102" i="1"/>
  <c r="AY93" i="1"/>
  <c r="AX93" i="1"/>
  <c r="AW93" i="1"/>
  <c r="AV93" i="1"/>
  <c r="AU93" i="1"/>
  <c r="AT93" i="1"/>
  <c r="AY70" i="1"/>
  <c r="AX70" i="1"/>
  <c r="AW70" i="1"/>
  <c r="AV70" i="1"/>
  <c r="AU70" i="1"/>
  <c r="AT70" i="1"/>
  <c r="AY61" i="1"/>
  <c r="AX61" i="1"/>
  <c r="AW61" i="1"/>
  <c r="AV61" i="1"/>
  <c r="AU61" i="1"/>
  <c r="AT61" i="1"/>
  <c r="AY48" i="1"/>
  <c r="AX48" i="1"/>
  <c r="AW48" i="1"/>
  <c r="AV48" i="1"/>
  <c r="AU48" i="1"/>
  <c r="AT48" i="1"/>
  <c r="AY45" i="1"/>
  <c r="AX45" i="1"/>
  <c r="AW45" i="1"/>
  <c r="AV45" i="1"/>
  <c r="AU45" i="1"/>
  <c r="AT45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107" i="1"/>
  <c r="AH107" i="1"/>
  <c r="AG107" i="1"/>
  <c r="AF107" i="1"/>
  <c r="AD107" i="1"/>
  <c r="AI102" i="1"/>
  <c r="AH102" i="1"/>
  <c r="AG102" i="1"/>
  <c r="AF102" i="1"/>
  <c r="AD102" i="1"/>
  <c r="AI93" i="1"/>
  <c r="AH93" i="1"/>
  <c r="AG93" i="1"/>
  <c r="AF93" i="1"/>
  <c r="AD93" i="1"/>
  <c r="AI70" i="1"/>
  <c r="AH70" i="1"/>
  <c r="AG70" i="1"/>
  <c r="AF70" i="1"/>
  <c r="AD70" i="1"/>
  <c r="AI61" i="1"/>
  <c r="AH61" i="1"/>
  <c r="AG61" i="1"/>
  <c r="AF61" i="1"/>
  <c r="AD61" i="1"/>
  <c r="AI48" i="1"/>
  <c r="AH48" i="1"/>
  <c r="AG48" i="1"/>
  <c r="AF48" i="1"/>
  <c r="AI45" i="1"/>
  <c r="AH45" i="1"/>
  <c r="AG45" i="1"/>
  <c r="AF45" i="1"/>
  <c r="AD45" i="1"/>
  <c r="AI36" i="1"/>
  <c r="AH36" i="1"/>
  <c r="AG36" i="1"/>
  <c r="AF36" i="1"/>
  <c r="AD36" i="1"/>
  <c r="AI25" i="1"/>
  <c r="AH25" i="1"/>
  <c r="AG25" i="1"/>
  <c r="AF25" i="1"/>
  <c r="AD25" i="1"/>
  <c r="P107" i="1"/>
  <c r="O107" i="1"/>
  <c r="P102" i="1"/>
  <c r="O102" i="1"/>
  <c r="P93" i="1"/>
  <c r="O93" i="1"/>
  <c r="P70" i="1"/>
  <c r="O70" i="1"/>
  <c r="P61" i="1"/>
  <c r="O61" i="1"/>
  <c r="P48" i="1"/>
  <c r="O48" i="1"/>
  <c r="P45" i="1"/>
  <c r="O45" i="1"/>
  <c r="P25" i="1"/>
  <c r="O25" i="1"/>
  <c r="T107" i="1"/>
  <c r="S107" i="1"/>
  <c r="R107" i="1"/>
  <c r="Q107" i="1"/>
  <c r="N107" i="1"/>
  <c r="M107" i="1"/>
  <c r="T102" i="1"/>
  <c r="S102" i="1"/>
  <c r="R102" i="1"/>
  <c r="Q102" i="1"/>
  <c r="N102" i="1"/>
  <c r="M102" i="1"/>
  <c r="T93" i="1"/>
  <c r="S93" i="1"/>
  <c r="R93" i="1"/>
  <c r="Q93" i="1"/>
  <c r="N93" i="1"/>
  <c r="M93" i="1"/>
  <c r="T70" i="1"/>
  <c r="S70" i="1"/>
  <c r="R70" i="1"/>
  <c r="Q70" i="1"/>
  <c r="N70" i="1"/>
  <c r="M70" i="1"/>
  <c r="T61" i="1"/>
  <c r="S61" i="1"/>
  <c r="R61" i="1"/>
  <c r="Q61" i="1"/>
  <c r="N61" i="1"/>
  <c r="M61" i="1"/>
  <c r="T48" i="1"/>
  <c r="S48" i="1"/>
  <c r="R48" i="1"/>
  <c r="Q48" i="1"/>
  <c r="N48" i="1"/>
  <c r="M48" i="1"/>
  <c r="T45" i="1"/>
  <c r="S45" i="1"/>
  <c r="R45" i="1"/>
  <c r="Q45" i="1"/>
  <c r="N45" i="1"/>
  <c r="M45" i="1"/>
  <c r="T25" i="1"/>
  <c r="S25" i="1"/>
  <c r="R25" i="1"/>
  <c r="Q25" i="1"/>
  <c r="N25" i="1"/>
  <c r="M25" i="1"/>
  <c r="M59" i="1" l="1"/>
  <c r="M110" i="1" s="1"/>
  <c r="S59" i="1"/>
  <c r="S110" i="1" s="1"/>
  <c r="AV59" i="1"/>
  <c r="AV110" i="1" s="1"/>
  <c r="R59" i="1"/>
  <c r="R110" i="1" s="1"/>
  <c r="P59" i="1"/>
  <c r="P110" i="1" s="1"/>
  <c r="AH59" i="1"/>
  <c r="AH110" i="1" s="1"/>
  <c r="AG59" i="1"/>
  <c r="AU59" i="1"/>
  <c r="AU110" i="1" s="1"/>
  <c r="AY59" i="1"/>
  <c r="AY110" i="1" s="1"/>
  <c r="N59" i="1"/>
  <c r="N110" i="1" s="1"/>
  <c r="T59" i="1"/>
  <c r="T110" i="1" s="1"/>
  <c r="AD59" i="1"/>
  <c r="AD110" i="1" s="1"/>
  <c r="AI59" i="1"/>
  <c r="AW59" i="1"/>
  <c r="AW110" i="1" s="1"/>
  <c r="Q59" i="1"/>
  <c r="Q110" i="1" s="1"/>
  <c r="O59" i="1"/>
  <c r="O110" i="1" s="1"/>
  <c r="AF59" i="1"/>
  <c r="AT59" i="1"/>
  <c r="AT110" i="1" s="1"/>
  <c r="AX59" i="1"/>
  <c r="AX110" i="1" s="1"/>
  <c r="AL109" i="1"/>
  <c r="AL108" i="1"/>
  <c r="AF110" i="1" l="1"/>
  <c r="O116" i="1" s="1"/>
  <c r="AI110" i="1"/>
  <c r="R116" i="1" s="1"/>
  <c r="M116" i="1"/>
  <c r="Q116" i="1"/>
  <c r="AG110" i="1"/>
  <c r="P116" i="1" s="1"/>
  <c r="AL107" i="1"/>
  <c r="AL103" i="1"/>
  <c r="AL104" i="1"/>
  <c r="AL105" i="1"/>
  <c r="AL106" i="1"/>
  <c r="AL102" i="1" l="1"/>
  <c r="AQ107" i="1" l="1"/>
  <c r="AR107" i="1"/>
  <c r="AS107" i="1"/>
  <c r="AZ107" i="1"/>
  <c r="BA107" i="1"/>
  <c r="AQ102" i="1"/>
  <c r="AR102" i="1"/>
  <c r="AS102" i="1"/>
  <c r="AZ102" i="1"/>
  <c r="BA102" i="1"/>
  <c r="AQ93" i="1"/>
  <c r="AR93" i="1"/>
  <c r="AS93" i="1"/>
  <c r="AZ93" i="1"/>
  <c r="BA93" i="1"/>
  <c r="AQ70" i="1"/>
  <c r="AR70" i="1"/>
  <c r="AS70" i="1"/>
  <c r="AZ70" i="1"/>
  <c r="BA70" i="1"/>
  <c r="AQ61" i="1"/>
  <c r="AR61" i="1"/>
  <c r="AS61" i="1"/>
  <c r="AZ61" i="1"/>
  <c r="BA61" i="1"/>
  <c r="AQ48" i="1"/>
  <c r="AR48" i="1"/>
  <c r="AS48" i="1"/>
  <c r="AZ48" i="1"/>
  <c r="BA48" i="1"/>
  <c r="AQ45" i="1"/>
  <c r="AR45" i="1"/>
  <c r="AS45" i="1"/>
  <c r="AZ45" i="1"/>
  <c r="BA45" i="1"/>
  <c r="AQ36" i="1"/>
  <c r="AR36" i="1"/>
  <c r="AS36" i="1"/>
  <c r="AZ36" i="1"/>
  <c r="BA36" i="1"/>
  <c r="AQ25" i="1"/>
  <c r="AR25" i="1"/>
  <c r="AS25" i="1"/>
  <c r="AZ25" i="1"/>
  <c r="BA25" i="1"/>
  <c r="AC107" i="1"/>
  <c r="AJ107" i="1"/>
  <c r="AK107" i="1"/>
  <c r="AA102" i="1"/>
  <c r="AB102" i="1"/>
  <c r="AC102" i="1"/>
  <c r="AJ102" i="1"/>
  <c r="AK102" i="1"/>
  <c r="AA93" i="1"/>
  <c r="AB93" i="1"/>
  <c r="AC93" i="1"/>
  <c r="AJ93" i="1"/>
  <c r="AK93" i="1"/>
  <c r="AA70" i="1"/>
  <c r="AB70" i="1"/>
  <c r="AC70" i="1"/>
  <c r="AJ70" i="1"/>
  <c r="AK70" i="1"/>
  <c r="AA61" i="1"/>
  <c r="AB61" i="1"/>
  <c r="AC61" i="1"/>
  <c r="AJ61" i="1"/>
  <c r="AK61" i="1"/>
  <c r="AA48" i="1"/>
  <c r="AB48" i="1"/>
  <c r="AC48" i="1"/>
  <c r="AJ48" i="1"/>
  <c r="AK48" i="1"/>
  <c r="AA45" i="1"/>
  <c r="AB45" i="1"/>
  <c r="AC45" i="1"/>
  <c r="AJ45" i="1"/>
  <c r="AK45" i="1"/>
  <c r="AA36" i="1"/>
  <c r="AB36" i="1"/>
  <c r="AC36" i="1"/>
  <c r="AJ36" i="1"/>
  <c r="AK36" i="1"/>
  <c r="AA25" i="1"/>
  <c r="AB25" i="1"/>
  <c r="AC25" i="1"/>
  <c r="AJ25" i="1"/>
  <c r="AK25" i="1"/>
  <c r="J107" i="1"/>
  <c r="K107" i="1"/>
  <c r="L107" i="1"/>
  <c r="U107" i="1"/>
  <c r="J102" i="1"/>
  <c r="K102" i="1"/>
  <c r="L102" i="1"/>
  <c r="U102" i="1"/>
  <c r="J93" i="1"/>
  <c r="K93" i="1"/>
  <c r="L93" i="1"/>
  <c r="U93" i="1"/>
  <c r="J70" i="1"/>
  <c r="K70" i="1"/>
  <c r="L70" i="1"/>
  <c r="U70" i="1"/>
  <c r="J61" i="1"/>
  <c r="K61" i="1"/>
  <c r="K59" i="1" s="1"/>
  <c r="L61" i="1"/>
  <c r="U61" i="1"/>
  <c r="J48" i="1"/>
  <c r="K48" i="1"/>
  <c r="L48" i="1"/>
  <c r="U48" i="1"/>
  <c r="J45" i="1"/>
  <c r="K45" i="1"/>
  <c r="L45" i="1"/>
  <c r="U45" i="1"/>
  <c r="J25" i="1"/>
  <c r="K25" i="1"/>
  <c r="L25" i="1"/>
  <c r="U25" i="1"/>
  <c r="J59" i="1" l="1"/>
  <c r="J110" i="1" s="1"/>
  <c r="AB59" i="1"/>
  <c r="L59" i="1"/>
  <c r="L110" i="1" s="1"/>
  <c r="AJ59" i="1"/>
  <c r="AR59" i="1"/>
  <c r="AR110" i="1" s="1"/>
  <c r="K110" i="1"/>
  <c r="AC59" i="1"/>
  <c r="AC110" i="1" s="1"/>
  <c r="BA59" i="1"/>
  <c r="BA110" i="1" s="1"/>
  <c r="AQ59" i="1"/>
  <c r="AQ110" i="1" s="1"/>
  <c r="AZ59" i="1"/>
  <c r="AZ110" i="1" s="1"/>
  <c r="U59" i="1"/>
  <c r="U110" i="1" s="1"/>
  <c r="AK59" i="1"/>
  <c r="AA59" i="1"/>
  <c r="AS59" i="1"/>
  <c r="AS110" i="1" s="1"/>
  <c r="AB110" i="1" l="1"/>
  <c r="AA110" i="1"/>
  <c r="L116" i="1"/>
  <c r="AJ110" i="1"/>
  <c r="S116" i="1" s="1"/>
  <c r="AK110" i="1"/>
  <c r="T116" i="1" s="1"/>
  <c r="BB109" i="1"/>
  <c r="BB108" i="1"/>
  <c r="BB106" i="1"/>
  <c r="BB105" i="1"/>
  <c r="BB104" i="1"/>
  <c r="BB103" i="1"/>
  <c r="BB97" i="1"/>
  <c r="BB95" i="1"/>
  <c r="BB94" i="1"/>
  <c r="BB91" i="1"/>
  <c r="BB92" i="1"/>
  <c r="BB73" i="1"/>
  <c r="BB72" i="1"/>
  <c r="BB71" i="1"/>
  <c r="BB70" i="1" s="1"/>
  <c r="BB60" i="1"/>
  <c r="BB58" i="1"/>
  <c r="BB50" i="1"/>
  <c r="BB46" i="1"/>
  <c r="BB35" i="1"/>
  <c r="BB33" i="1"/>
  <c r="BB32" i="1"/>
  <c r="BB30" i="1"/>
  <c r="BB29" i="1"/>
  <c r="BB28" i="1"/>
  <c r="BB27" i="1"/>
  <c r="BB26" i="1"/>
  <c r="BB19" i="1"/>
  <c r="BB16" i="1"/>
  <c r="AL95" i="1"/>
  <c r="AL94" i="1"/>
  <c r="AL91" i="1"/>
  <c r="AL92" i="1"/>
  <c r="AL73" i="1"/>
  <c r="AL58" i="1"/>
  <c r="AL50" i="1"/>
  <c r="AL30" i="1"/>
  <c r="AL29" i="1"/>
  <c r="AL28" i="1"/>
  <c r="AL27" i="1"/>
  <c r="AL26" i="1"/>
  <c r="AL16" i="1"/>
  <c r="BB31" i="1" l="1"/>
  <c r="V108" i="1"/>
  <c r="V104" i="1"/>
  <c r="V103" i="1"/>
  <c r="V95" i="1"/>
  <c r="V76" i="1"/>
  <c r="V65" i="1"/>
  <c r="V62" i="1"/>
  <c r="V46" i="1"/>
  <c r="V30" i="1"/>
  <c r="V29" i="1"/>
  <c r="V26" i="1"/>
  <c r="V16" i="1"/>
  <c r="AP107" i="1" l="1"/>
  <c r="Z107" i="1"/>
  <c r="H107" i="1"/>
  <c r="AP102" i="1"/>
  <c r="Z102" i="1"/>
  <c r="H102" i="1"/>
  <c r="AP93" i="1"/>
  <c r="Z93" i="1"/>
  <c r="H93" i="1"/>
  <c r="AP70" i="1"/>
  <c r="Z70" i="1"/>
  <c r="H70" i="1"/>
  <c r="AP61" i="1"/>
  <c r="Z61" i="1"/>
  <c r="H61" i="1"/>
  <c r="H48" i="1"/>
  <c r="Z48" i="1"/>
  <c r="AP48" i="1"/>
  <c r="AP45" i="1"/>
  <c r="Z45" i="1"/>
  <c r="H45" i="1"/>
  <c r="Z36" i="1"/>
  <c r="AP36" i="1"/>
  <c r="AP25" i="1"/>
  <c r="Z25" i="1"/>
  <c r="H25" i="1"/>
  <c r="H59" i="1" l="1"/>
  <c r="Z59" i="1"/>
  <c r="AP59" i="1"/>
  <c r="AP110" i="1" s="1"/>
  <c r="Z31" i="1"/>
  <c r="Z110" i="1" l="1"/>
  <c r="H31" i="1"/>
  <c r="H110" i="1" s="1"/>
  <c r="AL19" i="1" l="1"/>
  <c r="Y18" i="1"/>
  <c r="V20" i="1" l="1"/>
  <c r="G18" i="1"/>
  <c r="E107" i="1"/>
  <c r="F107" i="1"/>
  <c r="G107" i="1"/>
  <c r="W107" i="1"/>
  <c r="X107" i="1"/>
  <c r="Y107" i="1"/>
  <c r="AM107" i="1"/>
  <c r="AN107" i="1"/>
  <c r="AO107" i="1"/>
  <c r="E93" i="1"/>
  <c r="F93" i="1"/>
  <c r="G93" i="1"/>
  <c r="X93" i="1"/>
  <c r="Y93" i="1"/>
  <c r="AM93" i="1"/>
  <c r="AN93" i="1"/>
  <c r="AO93" i="1"/>
  <c r="BB93" i="1"/>
  <c r="E70" i="1"/>
  <c r="F70" i="1"/>
  <c r="G70" i="1"/>
  <c r="Y70" i="1"/>
  <c r="AM70" i="1"/>
  <c r="AO70" i="1"/>
  <c r="X61" i="1"/>
  <c r="Y61" i="1"/>
  <c r="AM61" i="1"/>
  <c r="AN61" i="1"/>
  <c r="AO61" i="1"/>
  <c r="E61" i="1"/>
  <c r="F61" i="1"/>
  <c r="G61" i="1"/>
  <c r="E45" i="1"/>
  <c r="F45" i="1"/>
  <c r="G45" i="1"/>
  <c r="X45" i="1"/>
  <c r="Y45" i="1"/>
  <c r="AN45" i="1"/>
  <c r="AO45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9" i="1" l="1"/>
  <c r="Y59" i="1"/>
  <c r="AO59" i="1"/>
  <c r="X59" i="1"/>
  <c r="F59" i="1"/>
  <c r="AN59" i="1"/>
  <c r="E59" i="1"/>
  <c r="AM59" i="1"/>
  <c r="V45" i="1"/>
  <c r="BB59" i="1" l="1"/>
  <c r="D45" i="1"/>
  <c r="BB47" i="1"/>
  <c r="BB45" i="1" s="1"/>
  <c r="AM45" i="1"/>
  <c r="AL45" i="1"/>
  <c r="W45" i="1"/>
  <c r="E48" i="1"/>
  <c r="F48" i="1"/>
  <c r="G48" i="1"/>
  <c r="G110" i="1" s="1"/>
  <c r="X48" i="1"/>
  <c r="Y48" i="1"/>
  <c r="AN48" i="1"/>
  <c r="AO48" i="1"/>
  <c r="E102" i="1"/>
  <c r="F102" i="1"/>
  <c r="W102" i="1"/>
  <c r="X102" i="1"/>
  <c r="Y102" i="1"/>
  <c r="AM102" i="1"/>
  <c r="AN102" i="1"/>
  <c r="AO102" i="1"/>
  <c r="BB102" i="1"/>
  <c r="Y110" i="1" l="1"/>
  <c r="F110" i="1"/>
  <c r="E110" i="1"/>
  <c r="X110" i="1"/>
  <c r="AO110" i="1"/>
  <c r="AN110" i="1"/>
  <c r="BB82" i="1"/>
  <c r="BB81" i="1"/>
  <c r="BB80" i="1"/>
  <c r="BB79" i="1"/>
  <c r="BB78" i="1"/>
  <c r="BB107" i="1"/>
  <c r="BB76" i="1"/>
  <c r="BB52" i="1"/>
  <c r="BB51" i="1"/>
  <c r="AM18" i="1"/>
  <c r="AM14" i="1"/>
  <c r="BB101" i="1"/>
  <c r="BB87" i="1"/>
  <c r="BB15" i="1" l="1"/>
  <c r="BB14" i="1" s="1"/>
  <c r="BB49" i="1"/>
  <c r="BB48" i="1" s="1"/>
  <c r="AM48" i="1"/>
  <c r="BB20" i="1"/>
  <c r="BB18" i="1" s="1"/>
  <c r="BB77" i="1"/>
  <c r="BB75" i="1" s="1"/>
  <c r="AL81" i="1"/>
  <c r="AL80" i="1"/>
  <c r="AL79" i="1"/>
  <c r="AL78" i="1"/>
  <c r="AL76" i="1"/>
  <c r="AL52" i="1"/>
  <c r="AL51" i="1"/>
  <c r="W18" i="1"/>
  <c r="W14" i="1"/>
  <c r="AL101" i="1"/>
  <c r="AL87" i="1"/>
  <c r="AL35" i="1"/>
  <c r="AL33" i="1"/>
  <c r="V63" i="1"/>
  <c r="V61" i="1" s="1"/>
  <c r="BB110" i="1" l="1"/>
  <c r="AM110" i="1"/>
  <c r="AM117" i="1" s="1"/>
  <c r="W31" i="1"/>
  <c r="AL14" i="1"/>
  <c r="AL36" i="1"/>
  <c r="W36" i="1"/>
  <c r="AL71" i="1"/>
  <c r="AL70" i="1" s="1"/>
  <c r="W70" i="1"/>
  <c r="AL97" i="1"/>
  <c r="AL93" i="1" s="1"/>
  <c r="W93" i="1"/>
  <c r="W61" i="1"/>
  <c r="AL32" i="1"/>
  <c r="AL31" i="1" s="1"/>
  <c r="AL20" i="1"/>
  <c r="AL18" i="1" s="1"/>
  <c r="AL77" i="1"/>
  <c r="AL75" i="1" s="1"/>
  <c r="AL49" i="1"/>
  <c r="AL48" i="1" s="1"/>
  <c r="W48" i="1"/>
  <c r="BB117" i="1" l="1"/>
  <c r="AM111" i="1"/>
  <c r="AN111" i="1" s="1"/>
  <c r="AO111" i="1" s="1"/>
  <c r="W59" i="1"/>
  <c r="AL59" i="1"/>
  <c r="AL110" i="1" s="1"/>
  <c r="V109" i="1"/>
  <c r="V107" i="1" s="1"/>
  <c r="V106" i="1"/>
  <c r="V101" i="1"/>
  <c r="V97" i="1"/>
  <c r="V92" i="1"/>
  <c r="V91" i="1"/>
  <c r="V87" i="1"/>
  <c r="V82" i="1"/>
  <c r="V81" i="1"/>
  <c r="V80" i="1"/>
  <c r="V79" i="1"/>
  <c r="V78" i="1"/>
  <c r="V73" i="1"/>
  <c r="V72" i="1"/>
  <c r="V71" i="1"/>
  <c r="V70" i="1" s="1"/>
  <c r="V60" i="1"/>
  <c r="D61" i="1"/>
  <c r="V58" i="1"/>
  <c r="V52" i="1"/>
  <c r="V35" i="1"/>
  <c r="V33" i="1"/>
  <c r="V28" i="1"/>
  <c r="V27" i="1"/>
  <c r="V75" i="1" l="1"/>
  <c r="W110" i="1"/>
  <c r="X111" i="1" s="1"/>
  <c r="Y111" i="1" s="1"/>
  <c r="Z111" i="1" s="1"/>
  <c r="AL117" i="1"/>
  <c r="U116" i="1"/>
  <c r="V18" i="1"/>
  <c r="D18" i="1"/>
  <c r="V14" i="1"/>
  <c r="D14" i="1"/>
  <c r="V32" i="1"/>
  <c r="V31" i="1" s="1"/>
  <c r="D31" i="1"/>
  <c r="V66" i="1"/>
  <c r="V64" i="1" s="1"/>
  <c r="D93" i="1"/>
  <c r="V94" i="1"/>
  <c r="V93" i="1" s="1"/>
  <c r="V105" i="1"/>
  <c r="V102" i="1" s="1"/>
  <c r="D102" i="1"/>
  <c r="V25" i="1"/>
  <c r="V48" i="1"/>
  <c r="D70" i="1"/>
  <c r="D36" i="1"/>
  <c r="D48" i="1"/>
  <c r="D25" i="1"/>
  <c r="W117" i="1" l="1"/>
  <c r="V59" i="1"/>
  <c r="V110" i="1" s="1"/>
  <c r="V117" i="1" s="1"/>
  <c r="D59" i="1"/>
  <c r="D110" i="1" s="1"/>
  <c r="E111" i="1" l="1"/>
  <c r="F111" i="1" s="1"/>
  <c r="G111" i="1" s="1"/>
  <c r="H111" i="1" s="1"/>
  <c r="I111" i="1" s="1"/>
  <c r="J111" i="1" s="1"/>
  <c r="K111" i="1" s="1"/>
  <c r="L111" i="1" s="1"/>
  <c r="M111" i="1" s="1"/>
  <c r="N111" i="1" s="1"/>
  <c r="O111" i="1" l="1"/>
  <c r="P111" i="1" l="1"/>
  <c r="Q111" i="1" s="1"/>
  <c r="R111" i="1" s="1"/>
  <c r="S111" i="1" s="1"/>
  <c r="T111" i="1" s="1"/>
  <c r="U111" i="1" s="1"/>
  <c r="AP111" i="1"/>
  <c r="AQ111" i="1" s="1"/>
  <c r="AR111" i="1" s="1"/>
  <c r="AS111" i="1" s="1"/>
  <c r="AA111" i="1"/>
  <c r="AB111" i="1" s="1"/>
  <c r="AC111" i="1" s="1"/>
  <c r="AT111" i="1" l="1"/>
  <c r="AU111" i="1" s="1"/>
  <c r="AV111" i="1" s="1"/>
  <c r="AW111" i="1" s="1"/>
  <c r="AX111" i="1" s="1"/>
  <c r="AY111" i="1" s="1"/>
  <c r="AZ111" i="1" s="1"/>
  <c r="BA111" i="1" s="1"/>
  <c r="AD111" i="1"/>
  <c r="AE111" i="1" l="1"/>
  <c r="AF111" i="1" s="1"/>
  <c r="AG111" i="1" s="1"/>
  <c r="AH111" i="1" s="1"/>
  <c r="AI111" i="1" s="1"/>
  <c r="AJ111" i="1" s="1"/>
  <c r="AK111" i="1" s="1"/>
</calcChain>
</file>

<file path=xl/sharedStrings.xml><?xml version="1.0" encoding="utf-8"?>
<sst xmlns="http://schemas.openxmlformats.org/spreadsheetml/2006/main" count="160" uniqueCount="125">
  <si>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</si>
  <si>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</si>
  <si>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</si>
  <si>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</si>
  <si>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</si>
  <si>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</si>
  <si>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</si>
  <si>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</si>
  <si>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</si>
  <si>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</si>
  <si>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</si>
  <si>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</si>
  <si>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</si>
  <si>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</si>
  <si>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</si>
  <si>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</si>
  <si>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</si>
  <si>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</si>
  <si>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</si>
  <si>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</si>
  <si>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</si>
  <si>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</si>
  <si>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</si>
  <si>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</si>
  <si>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</si>
  <si>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</si>
  <si>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</si>
  <si>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</si>
  <si>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</si>
  <si>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</si>
  <si>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</si>
  <si>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</si>
  <si>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</si>
  <si>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</si>
  <si>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</si>
  <si>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</si>
  <si>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</si>
  <si>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</si>
  <si>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</si>
  <si>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</si>
  <si>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</si>
  <si>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</si>
  <si>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</si>
  <si>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</si>
  <si>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</si>
  <si>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</si>
  <si>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</si>
  <si>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</si>
  <si>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</si>
  <si>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</si>
  <si>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</si>
  <si>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</si>
  <si>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</si>
  <si>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</si>
  <si>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</si>
  <si>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</si>
  <si>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</si>
  <si>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</si>
  <si>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270</t>
  </si>
  <si>
    <t>220-221</t>
  </si>
  <si>
    <t>340</t>
  </si>
  <si>
    <t xml:space="preserve">к решению Думы </t>
  </si>
  <si>
    <t>от_______ № ______</t>
  </si>
  <si>
    <t>Изменения 2 чтение</t>
  </si>
  <si>
    <t>Уточнение .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</si>
  <si>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</si>
  <si>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</si>
  <si>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</si>
  <si>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</si>
  <si>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</si>
  <si>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</si>
  <si>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</si>
  <si>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</si>
  <si>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</si>
  <si>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</si>
  <si>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</si>
  <si>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</si>
  <si>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</si>
  <si>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</si>
  <si>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</si>
  <si>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</si>
  <si>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</si>
  <si>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221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</si>
  <si>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</si>
  <si>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</si>
  <si>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«Культура Тольятти на 2019-2023 годы»</t>
  </si>
  <si>
    <t>Муниципальная программа  «Профилактика наркомании населения городского округа Тольятти на 2019-2023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</si>
  <si>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</si>
  <si>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</si>
  <si>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</si>
  <si>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</si>
  <si>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</si>
  <si>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непрограмм</t>
  </si>
  <si>
    <t>всего</t>
  </si>
  <si>
    <t>проверка</t>
  </si>
  <si>
    <t>условно утв</t>
  </si>
  <si>
    <t>200</t>
  </si>
  <si>
    <t>Муниципальная программа «Укрепление общественного здоровья в городском округе Тольятти» на 2021-2024 годы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</si>
  <si>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</si>
  <si>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</si>
  <si>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</si>
  <si>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</si>
  <si>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</si>
  <si>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</si>
  <si>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</si>
  <si>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</si>
  <si>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</si>
  <si>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ПЕРЕЧЕНЬ МУНИЦИПАЛЬНЫХ ПРОГРАММ, ПОДЛЕЖАЩИХ ФИНАНСИРОВАНИЮ ИЗ БЮДЖЕТА ГОРОДСКОГО ОКРУГА ТОЛЬЯТТИ, НА 2023 ГОД И ПЛАНОВЫЙ ПЕРИОД 2024 И 2025 ГОДОВ</t>
  </si>
  <si>
    <t>26.</t>
  </si>
  <si>
    <t>от 23.11.2022 № 1418</t>
  </si>
  <si>
    <t>Уточнение 08.02</t>
  </si>
  <si>
    <t>Уточнение 22.02</t>
  </si>
  <si>
    <t>Приложение 6</t>
  </si>
  <si>
    <t>Уточнение 15.03</t>
  </si>
  <si>
    <t>Уточнение 12.04</t>
  </si>
  <si>
    <t>Уточнение 31.03</t>
  </si>
  <si>
    <t>Муниципальная программа «Формирование современной городской среды на 2018-2025 годы»</t>
  </si>
  <si>
    <t>Уточнение 07.06</t>
  </si>
  <si>
    <t>Уточнение 05.07</t>
  </si>
  <si>
    <t>Уточнение 16.08</t>
  </si>
  <si>
    <t>Уточнение 18.10</t>
  </si>
  <si>
    <t>Уточнение 08.11</t>
  </si>
  <si>
    <t>Уточнение 22.11</t>
  </si>
  <si>
    <t>Уточнение 20.12</t>
  </si>
  <si>
    <t>Уточнение 22.12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</si>
</sst>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0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3" fontId="4" fillId="3" borderId="0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5" fillId="2" borderId="0" xfId="0" applyNumberFormat="1" applyFont="1" applyFill="1"/>
    <xf numFmtId="0" fontId="15" fillId="3" borderId="0" xfId="0" applyFont="1" applyFill="1"/>
    <xf numFmtId="0" fontId="15" fillId="0" borderId="0" xfId="0" applyFont="1" applyFill="1"/>
    <xf numFmtId="3" fontId="15" fillId="0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3" fontId="17" fillId="2" borderId="0" xfId="0" applyNumberFormat="1" applyFont="1" applyFill="1"/>
    <xf numFmtId="3" fontId="8" fillId="0" borderId="1" xfId="0" applyNumberFormat="1" applyFont="1" applyFill="1" applyBorder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0" fontId="4" fillId="3" borderId="0" xfId="0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3" fontId="17" fillId="3" borderId="0" xfId="0" applyNumberFormat="1" applyFont="1" applyFill="1"/>
    <xf numFmtId="3" fontId="15" fillId="3" borderId="0" xfId="0" applyNumberFormat="1" applyFont="1" applyFill="1"/>
    <xf numFmtId="3" fontId="7" fillId="3" borderId="0" xfId="0" applyNumberFormat="1" applyFont="1" applyFill="1"/>
    <xf numFmtId="16" fontId="22" fillId="3" borderId="0" xfId="0" applyNumberFormat="1" applyFont="1" applyFill="1"/>
    <xf numFmtId="0" fontId="22" fillId="3" borderId="0" xfId="0" applyFont="1" applyFill="1"/>
    <xf numFmtId="0" fontId="4" fillId="3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right"/>
    </xf>
    <xf numFmtId="3" fontId="18" fillId="3" borderId="0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49" fontId="3" fillId="3" borderId="4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3" fontId="23" fillId="2" borderId="0" xfId="0" applyNumberFormat="1" applyFont="1" applyFill="1"/>
    <xf numFmtId="0" fontId="23" fillId="3" borderId="0" xfId="0" applyFont="1" applyFill="1"/>
    <xf numFmtId="0" fontId="23" fillId="0" borderId="0" xfId="0" applyFont="1" applyFill="1"/>
    <xf numFmtId="3" fontId="23" fillId="0" borderId="0" xfId="0" applyNumberFormat="1" applyFont="1" applyFill="1"/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4" fillId="3" borderId="0" xfId="0" applyFont="1" applyFill="1" applyAlignment="1">
      <alignment horizontal="right"/>
    </xf>
    <xf numFmtId="0" fontId="16" fillId="3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2"/>
  <sheetViews>
    <sheetView showZeros="0" tabSelected="1" view="pageBreakPreview" topLeftCell="B1" zoomScaleSheetLayoutView="100" workbookViewId="0">
      <selection activeCell="BG10" sqref="BG10"/>
    </sheetView>
  </sheetViews>
  <sheetFormatPr defaultColWidth="9.140625" defaultRowHeight="15" x14ac:dyDescent="0.25"/>
  <cols>
    <col min="1" max="1" width="4.85546875" style="7" hidden="1" customWidth="1"/>
    <col min="2" max="2" width="5.42578125" style="10" customWidth="1"/>
    <col min="3" max="3" width="81.7109375" style="4" customWidth="1"/>
    <col min="4" max="4" width="13.85546875" style="19" hidden="1" customWidth="1"/>
    <col min="5" max="5" width="13.140625" style="24" hidden="1" customWidth="1"/>
    <col min="6" max="6" width="12.85546875" style="24" hidden="1" customWidth="1"/>
    <col min="7" max="7" width="12.140625" style="24" hidden="1" customWidth="1"/>
    <col min="8" max="8" width="12.28515625" style="24" hidden="1" customWidth="1"/>
    <col min="9" max="9" width="11.7109375" style="24" hidden="1" customWidth="1"/>
    <col min="10" max="10" width="12" style="24" hidden="1" customWidth="1"/>
    <col min="11" max="11" width="12.140625" style="24" hidden="1" customWidth="1"/>
    <col min="12" max="12" width="12.7109375" style="4" hidden="1" customWidth="1"/>
    <col min="13" max="13" width="12" style="24" hidden="1" customWidth="1"/>
    <col min="14" max="14" width="12" style="19" hidden="1" customWidth="1"/>
    <col min="15" max="19" width="12" style="24" hidden="1" customWidth="1"/>
    <col min="20" max="20" width="13" style="24" hidden="1" customWidth="1"/>
    <col min="21" max="21" width="13.42578125" style="24" hidden="1" customWidth="1"/>
    <col min="22" max="22" width="15.28515625" style="19" customWidth="1"/>
    <col min="23" max="23" width="15.28515625" style="19" hidden="1" customWidth="1"/>
    <col min="24" max="24" width="14.28515625" style="24" hidden="1" customWidth="1"/>
    <col min="25" max="25" width="14.42578125" style="24" hidden="1" customWidth="1"/>
    <col min="26" max="26" width="13.140625" style="24" hidden="1" customWidth="1"/>
    <col min="27" max="29" width="12" style="24" hidden="1" customWidth="1"/>
    <col min="30" max="30" width="12" style="4" hidden="1" customWidth="1"/>
    <col min="31" max="37" width="12" style="24" hidden="1" customWidth="1"/>
    <col min="38" max="38" width="14.5703125" style="4" customWidth="1"/>
    <col min="39" max="39" width="14.5703125" style="19" hidden="1" customWidth="1"/>
    <col min="40" max="40" width="14.140625" style="24" hidden="1" customWidth="1"/>
    <col min="41" max="41" width="12" style="24" hidden="1" customWidth="1"/>
    <col min="42" max="42" width="12.28515625" style="24" hidden="1" customWidth="1"/>
    <col min="43" max="44" width="12" style="19" hidden="1" customWidth="1"/>
    <col min="45" max="45" width="12" style="4" hidden="1" customWidth="1"/>
    <col min="46" max="53" width="12" style="24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5.75" x14ac:dyDescent="0.25">
      <c r="A1" s="143" t="s">
        <v>112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</row>
    <row r="2" spans="1:79" ht="15.75" x14ac:dyDescent="0.25">
      <c r="A2" s="130" t="s">
        <v>61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</row>
    <row r="3" spans="1:79" ht="15.75" x14ac:dyDescent="0.25">
      <c r="A3" s="130" t="s">
        <v>62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</row>
    <row r="4" spans="1:79" x14ac:dyDescent="0.25">
      <c r="B4" s="70"/>
      <c r="C4" s="19"/>
      <c r="F4" s="19"/>
      <c r="H4" s="19"/>
      <c r="I4" s="19"/>
      <c r="J4" s="19"/>
      <c r="K4" s="19"/>
      <c r="L4" s="19"/>
      <c r="M4" s="19"/>
      <c r="O4" s="19"/>
      <c r="P4" s="19"/>
      <c r="Q4" s="19"/>
      <c r="R4" s="19"/>
      <c r="S4" s="19"/>
      <c r="T4" s="19"/>
      <c r="U4" s="19"/>
      <c r="Y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O4" s="19"/>
      <c r="AS4" s="19"/>
      <c r="AT4" s="19"/>
      <c r="AU4" s="19"/>
      <c r="AV4" s="19"/>
      <c r="AW4" s="19"/>
      <c r="AX4" s="19"/>
      <c r="AY4" s="19"/>
      <c r="AZ4" s="19"/>
      <c r="BA4" s="19"/>
      <c r="BB4" s="19"/>
    </row>
    <row r="5" spans="1:79" ht="15.75" x14ac:dyDescent="0.25">
      <c r="B5" s="130" t="s">
        <v>98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</row>
    <row r="6" spans="1:79" s="19" customFormat="1" ht="15.75" x14ac:dyDescent="0.25">
      <c r="A6" s="27"/>
      <c r="B6" s="130" t="s">
        <v>61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</row>
    <row r="7" spans="1:79" s="19" customFormat="1" ht="15.75" x14ac:dyDescent="0.25">
      <c r="A7" s="27"/>
      <c r="B7" s="130" t="s">
        <v>109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</row>
    <row r="8" spans="1:79" s="19" customFormat="1" ht="15.75" x14ac:dyDescent="0.25">
      <c r="A8" s="27"/>
      <c r="B8" s="62"/>
      <c r="C8" s="62"/>
      <c r="D8" s="107"/>
      <c r="E8" s="106"/>
      <c r="F8" s="68"/>
      <c r="G8" s="9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107"/>
      <c r="X8" s="106"/>
      <c r="Y8" s="68"/>
      <c r="Z8" s="9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107"/>
      <c r="AN8" s="106"/>
      <c r="AO8" s="68"/>
      <c r="AP8" s="98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79" s="19" customFormat="1" ht="15.75" x14ac:dyDescent="0.25">
      <c r="A9" s="28"/>
      <c r="B9" s="28"/>
      <c r="C9" s="28"/>
      <c r="D9" s="28"/>
      <c r="E9" s="99"/>
      <c r="F9" s="28"/>
      <c r="G9" s="99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99"/>
      <c r="Y9" s="28"/>
      <c r="Z9" s="99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99"/>
      <c r="AO9" s="28"/>
      <c r="AP9" s="99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79" s="20" customFormat="1" ht="72.75" customHeight="1" x14ac:dyDescent="0.25">
      <c r="A10" s="131" t="s">
        <v>107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</row>
    <row r="11" spans="1:79" s="19" customFormat="1" ht="18.75" x14ac:dyDescent="0.25">
      <c r="A11" s="29"/>
      <c r="B11" s="63"/>
      <c r="C11" s="63"/>
      <c r="D11" s="109"/>
      <c r="E11" s="100"/>
      <c r="F11" s="69"/>
      <c r="G11" s="100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30"/>
      <c r="W11" s="30"/>
      <c r="X11" s="100"/>
      <c r="Y11" s="69"/>
      <c r="Z11" s="100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30"/>
      <c r="AM11" s="30"/>
      <c r="AN11" s="100"/>
      <c r="AO11" s="69"/>
      <c r="AP11" s="100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30"/>
    </row>
    <row r="12" spans="1:79" s="19" customFormat="1" ht="23.25" customHeight="1" x14ac:dyDescent="0.25">
      <c r="A12" s="138"/>
      <c r="B12" s="139" t="s">
        <v>0</v>
      </c>
      <c r="C12" s="139" t="s">
        <v>1</v>
      </c>
      <c r="D12" s="110"/>
      <c r="E12" s="140" t="s">
        <v>2</v>
      </c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2"/>
    </row>
    <row r="13" spans="1:79" s="19" customFormat="1" ht="56.25" x14ac:dyDescent="0.25">
      <c r="A13" s="138"/>
      <c r="B13" s="139"/>
      <c r="C13" s="139"/>
      <c r="D13" s="73" t="s">
        <v>70</v>
      </c>
      <c r="E13" s="31" t="s">
        <v>63</v>
      </c>
      <c r="F13" s="31" t="s">
        <v>110</v>
      </c>
      <c r="G13" s="31" t="s">
        <v>111</v>
      </c>
      <c r="H13" s="31" t="s">
        <v>113</v>
      </c>
      <c r="I13" s="31" t="s">
        <v>115</v>
      </c>
      <c r="J13" s="31" t="s">
        <v>114</v>
      </c>
      <c r="K13" s="31" t="s">
        <v>117</v>
      </c>
      <c r="L13" s="31" t="s">
        <v>118</v>
      </c>
      <c r="M13" s="31" t="s">
        <v>119</v>
      </c>
      <c r="N13" s="31" t="s">
        <v>120</v>
      </c>
      <c r="O13" s="31" t="s">
        <v>121</v>
      </c>
      <c r="P13" s="31" t="s">
        <v>122</v>
      </c>
      <c r="Q13" s="31" t="s">
        <v>123</v>
      </c>
      <c r="R13" s="116" t="s">
        <v>124</v>
      </c>
      <c r="S13" s="31" t="s">
        <v>64</v>
      </c>
      <c r="T13" s="31" t="s">
        <v>64</v>
      </c>
      <c r="U13" s="31" t="s">
        <v>64</v>
      </c>
      <c r="V13" s="73" t="s">
        <v>70</v>
      </c>
      <c r="W13" s="73" t="s">
        <v>83</v>
      </c>
      <c r="X13" s="31" t="s">
        <v>63</v>
      </c>
      <c r="Y13" s="31" t="s">
        <v>110</v>
      </c>
      <c r="Z13" s="31" t="s">
        <v>113</v>
      </c>
      <c r="AA13" s="31" t="s">
        <v>114</v>
      </c>
      <c r="AB13" s="31" t="s">
        <v>117</v>
      </c>
      <c r="AC13" s="31" t="s">
        <v>118</v>
      </c>
      <c r="AD13" s="31" t="s">
        <v>120</v>
      </c>
      <c r="AE13" s="31" t="s">
        <v>122</v>
      </c>
      <c r="AF13" s="116" t="s">
        <v>123</v>
      </c>
      <c r="AG13" s="31" t="s">
        <v>64</v>
      </c>
      <c r="AH13" s="31" t="s">
        <v>64</v>
      </c>
      <c r="AI13" s="31" t="s">
        <v>64</v>
      </c>
      <c r="AJ13" s="31" t="s">
        <v>64</v>
      </c>
      <c r="AK13" s="31" t="s">
        <v>64</v>
      </c>
      <c r="AL13" s="73" t="s">
        <v>83</v>
      </c>
      <c r="AM13" s="75" t="s">
        <v>99</v>
      </c>
      <c r="AN13" s="31" t="s">
        <v>63</v>
      </c>
      <c r="AO13" s="31" t="s">
        <v>110</v>
      </c>
      <c r="AP13" s="31" t="s">
        <v>113</v>
      </c>
      <c r="AQ13" s="31" t="s">
        <v>114</v>
      </c>
      <c r="AR13" s="31" t="s">
        <v>117</v>
      </c>
      <c r="AS13" s="31" t="s">
        <v>118</v>
      </c>
      <c r="AT13" s="31" t="s">
        <v>120</v>
      </c>
      <c r="AU13" s="116" t="s">
        <v>64</v>
      </c>
      <c r="AV13" s="31" t="s">
        <v>64</v>
      </c>
      <c r="AW13" s="31" t="s">
        <v>64</v>
      </c>
      <c r="AX13" s="31" t="s">
        <v>64</v>
      </c>
      <c r="AY13" s="31" t="s">
        <v>64</v>
      </c>
      <c r="AZ13" s="74" t="s">
        <v>64</v>
      </c>
      <c r="BA13" s="74" t="s">
        <v>64</v>
      </c>
      <c r="BB13" s="75" t="s">
        <v>99</v>
      </c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</row>
    <row r="14" spans="1:79" s="19" customFormat="1" ht="24.75" customHeight="1" x14ac:dyDescent="0.25">
      <c r="A14" s="78" t="s">
        <v>5</v>
      </c>
      <c r="B14" s="33" t="s">
        <v>33</v>
      </c>
      <c r="C14" s="94" t="s">
        <v>85</v>
      </c>
      <c r="D14" s="35">
        <f t="shared" ref="D14" si="0">SUM(D15:D17)</f>
        <v>1062361</v>
      </c>
      <c r="E14" s="35">
        <f t="shared" ref="E14" si="1">SUM(E15:E17)</f>
        <v>4291</v>
      </c>
      <c r="F14" s="35">
        <f t="shared" ref="F14" si="2">SUM(F15:F17)</f>
        <v>107134</v>
      </c>
      <c r="G14" s="35">
        <f t="shared" ref="G14" si="3">SUM(G15:G17)</f>
        <v>3000</v>
      </c>
      <c r="H14" s="35">
        <f t="shared" ref="H14:I14" si="4">SUM(H15:H17)</f>
        <v>15880</v>
      </c>
      <c r="I14" s="35">
        <f t="shared" si="4"/>
        <v>0</v>
      </c>
      <c r="J14" s="35">
        <f t="shared" ref="J14" si="5">SUM(J15:J17)</f>
        <v>5297</v>
      </c>
      <c r="K14" s="35">
        <f t="shared" ref="K14" si="6">SUM(K15:K17)</f>
        <v>2234</v>
      </c>
      <c r="L14" s="35">
        <f t="shared" ref="L14" si="7">SUM(L15:L17)</f>
        <v>2302</v>
      </c>
      <c r="M14" s="35">
        <f t="shared" ref="M14" si="8">SUM(M15:M17)</f>
        <v>6622</v>
      </c>
      <c r="N14" s="35">
        <f t="shared" ref="N14" si="9">SUM(N15:N17)</f>
        <v>40</v>
      </c>
      <c r="O14" s="35">
        <f t="shared" ref="O14" si="10">SUM(O15:O17)</f>
        <v>0</v>
      </c>
      <c r="P14" s="35">
        <f t="shared" ref="P14" si="11">SUM(P15:P17)</f>
        <v>0</v>
      </c>
      <c r="Q14" s="35">
        <f t="shared" ref="Q14" si="12">SUM(Q15:Q17)</f>
        <v>-301</v>
      </c>
      <c r="R14" s="117">
        <f t="shared" ref="R14" si="13">SUM(R15:R17)</f>
        <v>0</v>
      </c>
      <c r="S14" s="35">
        <f t="shared" ref="S14" si="14">SUM(S15:S17)</f>
        <v>0</v>
      </c>
      <c r="T14" s="35">
        <f t="shared" ref="T14" si="15">SUM(T15:T17)</f>
        <v>0</v>
      </c>
      <c r="U14" s="35">
        <f t="shared" ref="U14" si="16">SUM(U15:U17)</f>
        <v>0</v>
      </c>
      <c r="V14" s="35">
        <f t="shared" ref="V14" si="17">SUM(V15:V17)</f>
        <v>1208860</v>
      </c>
      <c r="W14" s="35">
        <f t="shared" ref="W14" si="18">SUM(W15:W17)</f>
        <v>0</v>
      </c>
      <c r="X14" s="35">
        <f t="shared" ref="X14" si="19">SUM(X15:X17)</f>
        <v>0</v>
      </c>
      <c r="Y14" s="35">
        <f t="shared" ref="Y14" si="20">SUM(Y15:Y17)</f>
        <v>0</v>
      </c>
      <c r="Z14" s="35">
        <f t="shared" ref="Z14" si="21">SUM(Z15:Z17)</f>
        <v>0</v>
      </c>
      <c r="AA14" s="35">
        <f t="shared" ref="AA14" si="22">SUM(AA15:AA17)</f>
        <v>0</v>
      </c>
      <c r="AB14" s="35">
        <f t="shared" ref="AB14" si="23">SUM(AB15:AB17)</f>
        <v>0</v>
      </c>
      <c r="AC14" s="35">
        <f t="shared" ref="AC14" si="24">SUM(AC15:AC17)</f>
        <v>0</v>
      </c>
      <c r="AD14" s="35">
        <f t="shared" ref="AD14" si="25">SUM(AD15:AD17)</f>
        <v>0</v>
      </c>
      <c r="AE14" s="35">
        <f t="shared" ref="AE14" si="26">SUM(AE15:AE17)</f>
        <v>0</v>
      </c>
      <c r="AF14" s="117">
        <f t="shared" ref="AF14" si="27">SUM(AF15:AF17)</f>
        <v>0</v>
      </c>
      <c r="AG14" s="35">
        <f t="shared" ref="AG14" si="28">SUM(AG15:AG17)</f>
        <v>0</v>
      </c>
      <c r="AH14" s="35">
        <f t="shared" ref="AH14" si="29">SUM(AH15:AH17)</f>
        <v>0</v>
      </c>
      <c r="AI14" s="35">
        <f t="shared" ref="AI14" si="30">SUM(AI15:AI17)</f>
        <v>0</v>
      </c>
      <c r="AJ14" s="35">
        <f t="shared" ref="AJ14" si="31">SUM(AJ15:AJ17)</f>
        <v>0</v>
      </c>
      <c r="AK14" s="35">
        <f t="shared" ref="AK14" si="32">SUM(AK15:AK17)</f>
        <v>0</v>
      </c>
      <c r="AL14" s="35">
        <f t="shared" ref="AL14" si="33">SUM(AL15:AL17)</f>
        <v>0</v>
      </c>
      <c r="AM14" s="35">
        <f t="shared" ref="AM14:BA14" si="34">SUM(AM15:AM17)</f>
        <v>0</v>
      </c>
      <c r="AN14" s="35">
        <f t="shared" si="34"/>
        <v>0</v>
      </c>
      <c r="AO14" s="35">
        <f t="shared" si="34"/>
        <v>0</v>
      </c>
      <c r="AP14" s="35">
        <f t="shared" si="34"/>
        <v>0</v>
      </c>
      <c r="AQ14" s="35">
        <f t="shared" si="34"/>
        <v>0</v>
      </c>
      <c r="AR14" s="35">
        <f t="shared" si="34"/>
        <v>0</v>
      </c>
      <c r="AS14" s="35">
        <f t="shared" si="34"/>
        <v>0</v>
      </c>
      <c r="AT14" s="35">
        <f t="shared" si="34"/>
        <v>0</v>
      </c>
      <c r="AU14" s="117">
        <f t="shared" si="34"/>
        <v>0</v>
      </c>
      <c r="AV14" s="35">
        <f t="shared" si="34"/>
        <v>0</v>
      </c>
      <c r="AW14" s="35">
        <f t="shared" si="34"/>
        <v>0</v>
      </c>
      <c r="AX14" s="35">
        <f t="shared" si="34"/>
        <v>0</v>
      </c>
      <c r="AY14" s="35">
        <f t="shared" si="34"/>
        <v>0</v>
      </c>
      <c r="AZ14" s="35">
        <f t="shared" si="34"/>
        <v>0</v>
      </c>
      <c r="BA14" s="35">
        <f t="shared" si="34"/>
        <v>0</v>
      </c>
      <c r="BB14" s="35">
        <f>SUM(BB15:BB17)</f>
        <v>0</v>
      </c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</row>
    <row r="15" spans="1:79" s="44" customFormat="1" ht="18" hidden="1" customHeight="1" x14ac:dyDescent="0.25">
      <c r="A15" s="78"/>
      <c r="B15" s="40"/>
      <c r="C15" s="41">
        <v>912</v>
      </c>
      <c r="D15" s="42">
        <v>1062361</v>
      </c>
      <c r="E15" s="42">
        <v>4291</v>
      </c>
      <c r="F15" s="42">
        <f>1889+4327+2292+8450+739-2292+65+17+11-4+1+918-1499+5565+1435+64+4216+4421+2104+2393+456+10000+44124+17442</f>
        <v>107134</v>
      </c>
      <c r="G15" s="42"/>
      <c r="H15" s="42">
        <f>15880</f>
        <v>15880</v>
      </c>
      <c r="I15" s="42"/>
      <c r="J15" s="42">
        <f>7699+598</f>
        <v>8297</v>
      </c>
      <c r="K15" s="42">
        <f>978+656+600</f>
        <v>2234</v>
      </c>
      <c r="L15" s="42">
        <f>1635+667</f>
        <v>2302</v>
      </c>
      <c r="M15" s="42">
        <f>6418+204</f>
        <v>6622</v>
      </c>
      <c r="N15" s="42">
        <f>516-887+2432-1921-100</f>
        <v>40</v>
      </c>
      <c r="O15" s="42"/>
      <c r="P15" s="42"/>
      <c r="Q15" s="42">
        <f>503-30-118-50-221-385</f>
        <v>-301</v>
      </c>
      <c r="R15" s="118"/>
      <c r="S15" s="42"/>
      <c r="T15" s="42"/>
      <c r="U15" s="42"/>
      <c r="V15" s="42">
        <f>SUM(D15:U15)</f>
        <v>1208860</v>
      </c>
      <c r="W15" s="42"/>
      <c r="X15" s="42"/>
      <c r="Y15" s="42"/>
      <c r="Z15" s="42"/>
      <c r="AA15" s="42"/>
      <c r="AB15" s="42"/>
      <c r="AC15" s="42"/>
      <c r="AD15" s="42"/>
      <c r="AE15" s="42"/>
      <c r="AF15" s="118"/>
      <c r="AG15" s="42"/>
      <c r="AH15" s="42"/>
      <c r="AI15" s="42"/>
      <c r="AJ15" s="42"/>
      <c r="AK15" s="42"/>
      <c r="AL15" s="42">
        <f>SUM(W15:AK15)</f>
        <v>0</v>
      </c>
      <c r="AM15" s="42"/>
      <c r="AN15" s="42"/>
      <c r="AO15" s="42"/>
      <c r="AP15" s="42"/>
      <c r="AQ15" s="42"/>
      <c r="AR15" s="42"/>
      <c r="AS15" s="42"/>
      <c r="AT15" s="42"/>
      <c r="AU15" s="118"/>
      <c r="AV15" s="42"/>
      <c r="AW15" s="42"/>
      <c r="AX15" s="42"/>
      <c r="AY15" s="42"/>
      <c r="AZ15" s="42"/>
      <c r="BA15" s="42"/>
      <c r="BB15" s="42">
        <f>SUM(AM15:BA15)</f>
        <v>0</v>
      </c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</row>
    <row r="16" spans="1:79" s="44" customFormat="1" ht="15" hidden="1" customHeight="1" x14ac:dyDescent="0.25">
      <c r="A16" s="78"/>
      <c r="B16" s="40"/>
      <c r="C16" s="41">
        <v>914</v>
      </c>
      <c r="D16" s="42"/>
      <c r="E16" s="42"/>
      <c r="F16" s="42"/>
      <c r="G16" s="42">
        <v>3000</v>
      </c>
      <c r="H16" s="42"/>
      <c r="I16" s="42"/>
      <c r="J16" s="42">
        <v>-3000</v>
      </c>
      <c r="K16" s="42"/>
      <c r="L16" s="42"/>
      <c r="M16" s="42"/>
      <c r="N16" s="42"/>
      <c r="O16" s="42"/>
      <c r="P16" s="42"/>
      <c r="Q16" s="42"/>
      <c r="R16" s="118"/>
      <c r="S16" s="42"/>
      <c r="T16" s="42"/>
      <c r="U16" s="42"/>
      <c r="V16" s="42">
        <f>SUM(D16:U16)</f>
        <v>0</v>
      </c>
      <c r="W16" s="42"/>
      <c r="X16" s="42"/>
      <c r="Y16" s="42"/>
      <c r="Z16" s="42"/>
      <c r="AA16" s="42"/>
      <c r="AB16" s="42"/>
      <c r="AC16" s="42"/>
      <c r="AD16" s="42"/>
      <c r="AE16" s="42"/>
      <c r="AF16" s="118"/>
      <c r="AG16" s="42"/>
      <c r="AH16" s="42"/>
      <c r="AI16" s="42"/>
      <c r="AJ16" s="42"/>
      <c r="AK16" s="42"/>
      <c r="AL16" s="42">
        <f>SUM(W16:AK16)</f>
        <v>0</v>
      </c>
      <c r="AM16" s="42"/>
      <c r="AN16" s="42"/>
      <c r="AO16" s="42"/>
      <c r="AP16" s="42"/>
      <c r="AQ16" s="42"/>
      <c r="AR16" s="42"/>
      <c r="AS16" s="42"/>
      <c r="AT16" s="42"/>
      <c r="AU16" s="118"/>
      <c r="AV16" s="42"/>
      <c r="AW16" s="42"/>
      <c r="AX16" s="42"/>
      <c r="AY16" s="42"/>
      <c r="AZ16" s="42"/>
      <c r="BA16" s="42"/>
      <c r="BB16" s="42">
        <f>SUM(AM16:BA16)</f>
        <v>0</v>
      </c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</row>
    <row r="17" spans="1:79" s="44" customFormat="1" ht="15" hidden="1" customHeight="1" x14ac:dyDescent="0.25">
      <c r="A17" s="78"/>
      <c r="B17" s="40"/>
      <c r="C17" s="41">
        <v>923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118"/>
      <c r="S17" s="42"/>
      <c r="T17" s="42"/>
      <c r="U17" s="42"/>
      <c r="V17" s="42">
        <f>SUM(D17:U17)</f>
        <v>0</v>
      </c>
      <c r="W17" s="42"/>
      <c r="X17" s="42"/>
      <c r="Y17" s="42"/>
      <c r="Z17" s="42"/>
      <c r="AA17" s="42"/>
      <c r="AB17" s="42"/>
      <c r="AC17" s="42"/>
      <c r="AD17" s="42"/>
      <c r="AE17" s="42"/>
      <c r="AF17" s="118"/>
      <c r="AG17" s="42"/>
      <c r="AH17" s="42"/>
      <c r="AI17" s="42"/>
      <c r="AJ17" s="42"/>
      <c r="AK17" s="42"/>
      <c r="AL17" s="42">
        <f>SUM(W17:AK17)</f>
        <v>0</v>
      </c>
      <c r="AM17" s="42"/>
      <c r="AN17" s="42"/>
      <c r="AO17" s="42"/>
      <c r="AP17" s="42"/>
      <c r="AQ17" s="42"/>
      <c r="AR17" s="42"/>
      <c r="AS17" s="42"/>
      <c r="AT17" s="42"/>
      <c r="AU17" s="118"/>
      <c r="AV17" s="42"/>
      <c r="AW17" s="42"/>
      <c r="AX17" s="42"/>
      <c r="AY17" s="42"/>
      <c r="AZ17" s="42"/>
      <c r="BA17" s="42"/>
      <c r="BB17" s="42">
        <f>SUM(AM17:BA17)</f>
        <v>0</v>
      </c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</row>
    <row r="18" spans="1:79" s="19" customFormat="1" ht="31.5" x14ac:dyDescent="0.25">
      <c r="A18" s="78" t="s">
        <v>6</v>
      </c>
      <c r="B18" s="33" t="s">
        <v>34</v>
      </c>
      <c r="C18" s="34" t="s">
        <v>87</v>
      </c>
      <c r="D18" s="35">
        <f t="shared" ref="D18:BA18" si="35">SUM(D19:D21)</f>
        <v>710722</v>
      </c>
      <c r="E18" s="35">
        <f t="shared" si="35"/>
        <v>3114</v>
      </c>
      <c r="F18" s="35">
        <f t="shared" si="35"/>
        <v>36561</v>
      </c>
      <c r="G18" s="35">
        <f t="shared" si="35"/>
        <v>0</v>
      </c>
      <c r="H18" s="35">
        <f t="shared" si="35"/>
        <v>2795</v>
      </c>
      <c r="I18" s="35">
        <f t="shared" si="35"/>
        <v>0</v>
      </c>
      <c r="J18" s="35">
        <f t="shared" si="35"/>
        <v>20073</v>
      </c>
      <c r="K18" s="35">
        <f t="shared" si="35"/>
        <v>3026</v>
      </c>
      <c r="L18" s="35">
        <f t="shared" si="35"/>
        <v>7327</v>
      </c>
      <c r="M18" s="35">
        <f t="shared" si="35"/>
        <v>4271</v>
      </c>
      <c r="N18" s="35">
        <f t="shared" si="35"/>
        <v>-581</v>
      </c>
      <c r="O18" s="35">
        <f t="shared" si="35"/>
        <v>0</v>
      </c>
      <c r="P18" s="35">
        <f t="shared" si="35"/>
        <v>0</v>
      </c>
      <c r="Q18" s="35">
        <f t="shared" si="35"/>
        <v>5616</v>
      </c>
      <c r="R18" s="117">
        <f t="shared" si="35"/>
        <v>0</v>
      </c>
      <c r="S18" s="35">
        <f t="shared" si="35"/>
        <v>0</v>
      </c>
      <c r="T18" s="35">
        <f t="shared" si="35"/>
        <v>0</v>
      </c>
      <c r="U18" s="35">
        <f t="shared" si="35"/>
        <v>0</v>
      </c>
      <c r="V18" s="35">
        <f t="shared" si="35"/>
        <v>792924</v>
      </c>
      <c r="W18" s="35">
        <f t="shared" si="35"/>
        <v>708681</v>
      </c>
      <c r="X18" s="35">
        <f t="shared" si="35"/>
        <v>3114</v>
      </c>
      <c r="Y18" s="35">
        <f t="shared" si="35"/>
        <v>10772</v>
      </c>
      <c r="Z18" s="35">
        <f t="shared" si="35"/>
        <v>0</v>
      </c>
      <c r="AA18" s="35">
        <f t="shared" si="35"/>
        <v>0</v>
      </c>
      <c r="AB18" s="35">
        <f t="shared" si="35"/>
        <v>0</v>
      </c>
      <c r="AC18" s="35">
        <f t="shared" si="35"/>
        <v>0</v>
      </c>
      <c r="AD18" s="35">
        <f t="shared" si="35"/>
        <v>0</v>
      </c>
      <c r="AE18" s="35">
        <f t="shared" si="35"/>
        <v>0</v>
      </c>
      <c r="AF18" s="117">
        <f t="shared" si="35"/>
        <v>0</v>
      </c>
      <c r="AG18" s="35">
        <f t="shared" si="35"/>
        <v>0</v>
      </c>
      <c r="AH18" s="35">
        <f t="shared" si="35"/>
        <v>0</v>
      </c>
      <c r="AI18" s="35">
        <f t="shared" si="35"/>
        <v>0</v>
      </c>
      <c r="AJ18" s="35">
        <f t="shared" si="35"/>
        <v>0</v>
      </c>
      <c r="AK18" s="35">
        <f t="shared" si="35"/>
        <v>0</v>
      </c>
      <c r="AL18" s="35">
        <f t="shared" si="35"/>
        <v>722567</v>
      </c>
      <c r="AM18" s="35">
        <f t="shared" si="35"/>
        <v>706049</v>
      </c>
      <c r="AN18" s="35">
        <f t="shared" si="35"/>
        <v>3114</v>
      </c>
      <c r="AO18" s="35">
        <f t="shared" si="35"/>
        <v>0</v>
      </c>
      <c r="AP18" s="35">
        <f t="shared" si="35"/>
        <v>0</v>
      </c>
      <c r="AQ18" s="35">
        <f t="shared" si="35"/>
        <v>0</v>
      </c>
      <c r="AR18" s="35">
        <f t="shared" si="35"/>
        <v>0</v>
      </c>
      <c r="AS18" s="35">
        <f t="shared" si="35"/>
        <v>0</v>
      </c>
      <c r="AT18" s="35">
        <f t="shared" si="35"/>
        <v>0</v>
      </c>
      <c r="AU18" s="117">
        <f t="shared" si="35"/>
        <v>0</v>
      </c>
      <c r="AV18" s="35">
        <f t="shared" si="35"/>
        <v>0</v>
      </c>
      <c r="AW18" s="35">
        <f t="shared" si="35"/>
        <v>0</v>
      </c>
      <c r="AX18" s="35">
        <f t="shared" si="35"/>
        <v>0</v>
      </c>
      <c r="AY18" s="35">
        <f t="shared" si="35"/>
        <v>0</v>
      </c>
      <c r="AZ18" s="35">
        <f t="shared" si="35"/>
        <v>0</v>
      </c>
      <c r="BA18" s="35">
        <f t="shared" si="35"/>
        <v>0</v>
      </c>
      <c r="BB18" s="35">
        <f>SUM(BB19:BB21)</f>
        <v>709163</v>
      </c>
      <c r="BC18" s="32"/>
      <c r="BD18" s="36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</row>
    <row r="19" spans="1:79" s="44" customFormat="1" ht="15" hidden="1" customHeight="1" x14ac:dyDescent="0.25">
      <c r="A19" s="79"/>
      <c r="B19" s="55"/>
      <c r="C19" s="41">
        <v>914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>
        <v>3928</v>
      </c>
      <c r="R19" s="118"/>
      <c r="S19" s="42"/>
      <c r="T19" s="42"/>
      <c r="U19" s="42"/>
      <c r="V19" s="42">
        <f>SUM(D19:U19)</f>
        <v>3928</v>
      </c>
      <c r="W19" s="42"/>
      <c r="X19" s="42"/>
      <c r="Y19" s="42"/>
      <c r="Z19" s="42"/>
      <c r="AA19" s="42"/>
      <c r="AB19" s="42"/>
      <c r="AC19" s="42"/>
      <c r="AD19" s="42"/>
      <c r="AE19" s="42"/>
      <c r="AF19" s="118"/>
      <c r="AG19" s="42"/>
      <c r="AH19" s="42"/>
      <c r="AI19" s="42"/>
      <c r="AJ19" s="42"/>
      <c r="AK19" s="42"/>
      <c r="AL19" s="42">
        <f>SUM(W19:AK19)</f>
        <v>0</v>
      </c>
      <c r="AM19" s="42"/>
      <c r="AN19" s="42"/>
      <c r="AO19" s="42"/>
      <c r="AP19" s="42"/>
      <c r="AQ19" s="42"/>
      <c r="AR19" s="42"/>
      <c r="AS19" s="42"/>
      <c r="AT19" s="42"/>
      <c r="AU19" s="118"/>
      <c r="AV19" s="42"/>
      <c r="AW19" s="42"/>
      <c r="AX19" s="42"/>
      <c r="AY19" s="42"/>
      <c r="AZ19" s="42"/>
      <c r="BA19" s="42"/>
      <c r="BB19" s="42">
        <f t="shared" ref="BB19:BB20" si="36">SUM(AM19:BA19)</f>
        <v>0</v>
      </c>
    </row>
    <row r="20" spans="1:79" s="44" customFormat="1" ht="17.25" hidden="1" customHeight="1" x14ac:dyDescent="0.25">
      <c r="A20" s="79"/>
      <c r="B20" s="55"/>
      <c r="C20" s="41">
        <v>917</v>
      </c>
      <c r="D20" s="42">
        <v>710722</v>
      </c>
      <c r="E20" s="42">
        <f>3114</f>
        <v>3114</v>
      </c>
      <c r="F20" s="42">
        <f>35579+981+1</f>
        <v>36561</v>
      </c>
      <c r="G20" s="42"/>
      <c r="H20" s="42">
        <v>2795</v>
      </c>
      <c r="I20" s="42"/>
      <c r="J20" s="42">
        <f>20073</f>
        <v>20073</v>
      </c>
      <c r="K20" s="42">
        <v>3026</v>
      </c>
      <c r="L20" s="42">
        <f>5754+323+1250</f>
        <v>7327</v>
      </c>
      <c r="M20" s="42">
        <v>4271</v>
      </c>
      <c r="N20" s="42">
        <f>-2068+1000+487</f>
        <v>-581</v>
      </c>
      <c r="O20" s="42"/>
      <c r="P20" s="42"/>
      <c r="Q20" s="42">
        <f>-57+57-5-321-429+2443</f>
        <v>1688</v>
      </c>
      <c r="R20" s="118"/>
      <c r="S20" s="42"/>
      <c r="T20" s="42"/>
      <c r="U20" s="42"/>
      <c r="V20" s="42">
        <f>SUM(D20:U20)</f>
        <v>788996</v>
      </c>
      <c r="W20" s="42">
        <v>708681</v>
      </c>
      <c r="X20" s="42">
        <f>3114</f>
        <v>3114</v>
      </c>
      <c r="Y20" s="42">
        <f>10772</f>
        <v>10772</v>
      </c>
      <c r="Z20" s="42"/>
      <c r="AA20" s="42"/>
      <c r="AB20" s="42"/>
      <c r="AC20" s="42"/>
      <c r="AD20" s="42"/>
      <c r="AE20" s="42"/>
      <c r="AF20" s="118"/>
      <c r="AG20" s="42"/>
      <c r="AH20" s="42"/>
      <c r="AI20" s="42"/>
      <c r="AJ20" s="42"/>
      <c r="AK20" s="42"/>
      <c r="AL20" s="42">
        <f>SUM(W20:AK20)</f>
        <v>722567</v>
      </c>
      <c r="AM20" s="42">
        <v>706049</v>
      </c>
      <c r="AN20" s="42">
        <f>3114</f>
        <v>3114</v>
      </c>
      <c r="AO20" s="42"/>
      <c r="AP20" s="42"/>
      <c r="AQ20" s="42"/>
      <c r="AR20" s="42"/>
      <c r="AS20" s="42"/>
      <c r="AT20" s="42"/>
      <c r="AU20" s="118"/>
      <c r="AV20" s="42"/>
      <c r="AW20" s="42"/>
      <c r="AX20" s="42"/>
      <c r="AY20" s="42"/>
      <c r="AZ20" s="42"/>
      <c r="BA20" s="42"/>
      <c r="BB20" s="42">
        <f t="shared" si="36"/>
        <v>709163</v>
      </c>
    </row>
    <row r="21" spans="1:79" s="44" customFormat="1" ht="17.25" hidden="1" customHeight="1" x14ac:dyDescent="0.25">
      <c r="A21" s="79"/>
      <c r="B21" s="55"/>
      <c r="C21" s="41">
        <v>920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118"/>
      <c r="S21" s="42"/>
      <c r="T21" s="42"/>
      <c r="U21" s="42"/>
      <c r="V21" s="42">
        <f>SUM(D21:U21)</f>
        <v>0</v>
      </c>
      <c r="W21" s="42"/>
      <c r="X21" s="42"/>
      <c r="Y21" s="42"/>
      <c r="Z21" s="42"/>
      <c r="AA21" s="42"/>
      <c r="AB21" s="42"/>
      <c r="AC21" s="42"/>
      <c r="AD21" s="42"/>
      <c r="AE21" s="42"/>
      <c r="AF21" s="118"/>
      <c r="AG21" s="42"/>
      <c r="AH21" s="42"/>
      <c r="AI21" s="42"/>
      <c r="AJ21" s="42"/>
      <c r="AK21" s="42"/>
      <c r="AL21" s="42">
        <f>SUM(W21:AK21)</f>
        <v>0</v>
      </c>
      <c r="AM21" s="42"/>
      <c r="AN21" s="42"/>
      <c r="AO21" s="42"/>
      <c r="AP21" s="42"/>
      <c r="AQ21" s="42"/>
      <c r="AR21" s="42"/>
      <c r="AS21" s="42"/>
      <c r="AT21" s="42"/>
      <c r="AU21" s="118"/>
      <c r="AV21" s="42"/>
      <c r="AW21" s="42"/>
      <c r="AX21" s="42"/>
      <c r="AY21" s="42"/>
      <c r="AZ21" s="42"/>
      <c r="BA21" s="42"/>
      <c r="BB21" s="42">
        <f t="shared" ref="BB21" si="37">SUM(AM21:BA21)</f>
        <v>0</v>
      </c>
    </row>
    <row r="22" spans="1:79" s="19" customFormat="1" ht="15.75" x14ac:dyDescent="0.25">
      <c r="A22" s="78" t="s">
        <v>7</v>
      </c>
      <c r="B22" s="33" t="s">
        <v>35</v>
      </c>
      <c r="C22" s="34" t="s">
        <v>74</v>
      </c>
      <c r="D22" s="35">
        <f>SUM(D23:D24)</f>
        <v>35475</v>
      </c>
      <c r="E22" s="35">
        <f t="shared" ref="E22:U22" si="38">SUM(E23:E24)</f>
        <v>0</v>
      </c>
      <c r="F22" s="35">
        <f t="shared" si="38"/>
        <v>1025</v>
      </c>
      <c r="G22" s="35">
        <f t="shared" si="38"/>
        <v>0</v>
      </c>
      <c r="H22" s="35">
        <f t="shared" si="38"/>
        <v>9780</v>
      </c>
      <c r="I22" s="35">
        <f t="shared" si="38"/>
        <v>0</v>
      </c>
      <c r="J22" s="35">
        <f t="shared" si="38"/>
        <v>0</v>
      </c>
      <c r="K22" s="35">
        <f t="shared" si="38"/>
        <v>616</v>
      </c>
      <c r="L22" s="35">
        <f t="shared" si="38"/>
        <v>0</v>
      </c>
      <c r="M22" s="35">
        <f t="shared" si="38"/>
        <v>1279</v>
      </c>
      <c r="N22" s="35">
        <f t="shared" si="38"/>
        <v>0</v>
      </c>
      <c r="O22" s="35">
        <f t="shared" si="38"/>
        <v>0</v>
      </c>
      <c r="P22" s="35">
        <f t="shared" si="38"/>
        <v>0</v>
      </c>
      <c r="Q22" s="35">
        <f t="shared" si="38"/>
        <v>0</v>
      </c>
      <c r="R22" s="117">
        <f t="shared" si="38"/>
        <v>0</v>
      </c>
      <c r="S22" s="35">
        <f t="shared" si="38"/>
        <v>0</v>
      </c>
      <c r="T22" s="35">
        <f t="shared" si="38"/>
        <v>0</v>
      </c>
      <c r="U22" s="35">
        <f t="shared" si="38"/>
        <v>0</v>
      </c>
      <c r="V22" s="35">
        <f>SUM(V23:V24)</f>
        <v>48175</v>
      </c>
      <c r="W22" s="35">
        <f t="shared" ref="W22:BB22" si="39">SUM(W23:W24)</f>
        <v>35475</v>
      </c>
      <c r="X22" s="35">
        <f t="shared" si="39"/>
        <v>0</v>
      </c>
      <c r="Y22" s="35">
        <f t="shared" si="39"/>
        <v>0</v>
      </c>
      <c r="Z22" s="35">
        <f t="shared" si="39"/>
        <v>9780</v>
      </c>
      <c r="AA22" s="35">
        <f t="shared" si="39"/>
        <v>0</v>
      </c>
      <c r="AB22" s="35">
        <f t="shared" si="39"/>
        <v>616</v>
      </c>
      <c r="AC22" s="35">
        <f t="shared" si="39"/>
        <v>0</v>
      </c>
      <c r="AD22" s="35">
        <f t="shared" si="39"/>
        <v>0</v>
      </c>
      <c r="AE22" s="35">
        <f t="shared" si="39"/>
        <v>0</v>
      </c>
      <c r="AF22" s="117">
        <f t="shared" si="39"/>
        <v>0</v>
      </c>
      <c r="AG22" s="35">
        <f t="shared" si="39"/>
        <v>0</v>
      </c>
      <c r="AH22" s="35">
        <f t="shared" si="39"/>
        <v>0</v>
      </c>
      <c r="AI22" s="35">
        <f t="shared" si="39"/>
        <v>0</v>
      </c>
      <c r="AJ22" s="35">
        <f t="shared" si="39"/>
        <v>0</v>
      </c>
      <c r="AK22" s="35">
        <f t="shared" si="39"/>
        <v>0</v>
      </c>
      <c r="AL22" s="35">
        <f t="shared" si="39"/>
        <v>45871</v>
      </c>
      <c r="AM22" s="35">
        <f t="shared" si="39"/>
        <v>35475</v>
      </c>
      <c r="AN22" s="35">
        <f t="shared" si="39"/>
        <v>0</v>
      </c>
      <c r="AO22" s="35">
        <f t="shared" si="39"/>
        <v>0</v>
      </c>
      <c r="AP22" s="35">
        <f t="shared" si="39"/>
        <v>9780</v>
      </c>
      <c r="AQ22" s="35">
        <f t="shared" si="39"/>
        <v>0</v>
      </c>
      <c r="AR22" s="35">
        <f t="shared" si="39"/>
        <v>616</v>
      </c>
      <c r="AS22" s="35">
        <f t="shared" si="39"/>
        <v>0</v>
      </c>
      <c r="AT22" s="35">
        <f t="shared" si="39"/>
        <v>0</v>
      </c>
      <c r="AU22" s="117">
        <f t="shared" si="39"/>
        <v>0</v>
      </c>
      <c r="AV22" s="35">
        <f t="shared" si="39"/>
        <v>0</v>
      </c>
      <c r="AW22" s="35">
        <f t="shared" si="39"/>
        <v>0</v>
      </c>
      <c r="AX22" s="35">
        <f t="shared" si="39"/>
        <v>0</v>
      </c>
      <c r="AY22" s="35">
        <f t="shared" si="39"/>
        <v>0</v>
      </c>
      <c r="AZ22" s="35">
        <f t="shared" si="39"/>
        <v>0</v>
      </c>
      <c r="BA22" s="35">
        <f t="shared" si="39"/>
        <v>0</v>
      </c>
      <c r="BB22" s="35">
        <f t="shared" si="39"/>
        <v>45871</v>
      </c>
    </row>
    <row r="23" spans="1:79" s="19" customFormat="1" ht="15.75" hidden="1" x14ac:dyDescent="0.25">
      <c r="A23" s="78"/>
      <c r="B23" s="40"/>
      <c r="C23" s="41">
        <v>913</v>
      </c>
      <c r="D23" s="42">
        <v>35475</v>
      </c>
      <c r="E23" s="56"/>
      <c r="F23" s="56">
        <f>1025</f>
        <v>1025</v>
      </c>
      <c r="G23" s="56"/>
      <c r="H23" s="56">
        <v>9780</v>
      </c>
      <c r="I23" s="56"/>
      <c r="J23" s="56"/>
      <c r="K23" s="56">
        <v>616</v>
      </c>
      <c r="L23" s="56"/>
      <c r="M23" s="56">
        <f>1279</f>
        <v>1279</v>
      </c>
      <c r="N23" s="56"/>
      <c r="O23" s="56"/>
      <c r="P23" s="56"/>
      <c r="Q23" s="56"/>
      <c r="R23" s="117"/>
      <c r="S23" s="56"/>
      <c r="T23" s="56"/>
      <c r="U23" s="56"/>
      <c r="V23" s="42">
        <f>SUM(D23:U23)</f>
        <v>48175</v>
      </c>
      <c r="W23" s="42">
        <v>35475</v>
      </c>
      <c r="X23" s="56"/>
      <c r="Y23" s="56"/>
      <c r="Z23" s="56">
        <v>9780</v>
      </c>
      <c r="AA23" s="56"/>
      <c r="AB23" s="56">
        <f>616</f>
        <v>616</v>
      </c>
      <c r="AC23" s="56"/>
      <c r="AD23" s="56"/>
      <c r="AE23" s="56"/>
      <c r="AF23" s="117"/>
      <c r="AG23" s="56"/>
      <c r="AH23" s="56"/>
      <c r="AI23" s="56"/>
      <c r="AJ23" s="56"/>
      <c r="AK23" s="56"/>
      <c r="AL23" s="42">
        <f>SUM(W23:AK23)</f>
        <v>45871</v>
      </c>
      <c r="AM23" s="42">
        <v>35475</v>
      </c>
      <c r="AN23" s="56"/>
      <c r="AO23" s="56"/>
      <c r="AP23" s="56">
        <v>9780</v>
      </c>
      <c r="AQ23" s="56"/>
      <c r="AR23" s="56">
        <f>616</f>
        <v>616</v>
      </c>
      <c r="AS23" s="56"/>
      <c r="AT23" s="56"/>
      <c r="AU23" s="117"/>
      <c r="AV23" s="56"/>
      <c r="AW23" s="56"/>
      <c r="AX23" s="56"/>
      <c r="AY23" s="56"/>
      <c r="AZ23" s="56"/>
      <c r="BA23" s="56"/>
      <c r="BB23" s="42">
        <f t="shared" ref="BB23" si="40">SUM(AM23:BA23)</f>
        <v>45871</v>
      </c>
    </row>
    <row r="24" spans="1:79" s="19" customFormat="1" ht="15.75" hidden="1" x14ac:dyDescent="0.25">
      <c r="A24" s="78"/>
      <c r="B24" s="40"/>
      <c r="C24" s="41">
        <v>920</v>
      </c>
      <c r="D24" s="42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117"/>
      <c r="S24" s="56"/>
      <c r="T24" s="56"/>
      <c r="U24" s="56"/>
      <c r="V24" s="42">
        <f>SUM(D24:U24)</f>
        <v>0</v>
      </c>
      <c r="W24" s="56"/>
      <c r="X24" s="56"/>
      <c r="Y24" s="56"/>
      <c r="Z24" s="56"/>
      <c r="AA24" s="56"/>
      <c r="AB24" s="56"/>
      <c r="AC24" s="56"/>
      <c r="AD24" s="56"/>
      <c r="AE24" s="56"/>
      <c r="AF24" s="117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117"/>
      <c r="AV24" s="56"/>
      <c r="AW24" s="56"/>
      <c r="AX24" s="56"/>
      <c r="AY24" s="56"/>
      <c r="AZ24" s="56"/>
      <c r="BA24" s="56"/>
      <c r="BB24" s="56">
        <f>SUM(AM24:BA24)</f>
        <v>0</v>
      </c>
    </row>
    <row r="25" spans="1:79" s="19" customFormat="1" ht="31.5" x14ac:dyDescent="0.25">
      <c r="A25" s="78" t="s">
        <v>8</v>
      </c>
      <c r="B25" s="33" t="s">
        <v>36</v>
      </c>
      <c r="C25" s="34" t="s">
        <v>65</v>
      </c>
      <c r="D25" s="35">
        <f t="shared" ref="D25:AI25" si="41">SUM(D26:D29)</f>
        <v>2310</v>
      </c>
      <c r="E25" s="35">
        <f t="shared" si="41"/>
        <v>124946</v>
      </c>
      <c r="F25" s="35">
        <f t="shared" si="41"/>
        <v>0</v>
      </c>
      <c r="G25" s="35">
        <f t="shared" si="41"/>
        <v>0</v>
      </c>
      <c r="H25" s="35">
        <f t="shared" si="41"/>
        <v>0</v>
      </c>
      <c r="I25" s="35">
        <f t="shared" si="41"/>
        <v>0</v>
      </c>
      <c r="J25" s="35">
        <f t="shared" si="41"/>
        <v>0</v>
      </c>
      <c r="K25" s="35">
        <f t="shared" si="41"/>
        <v>0</v>
      </c>
      <c r="L25" s="35">
        <f t="shared" si="41"/>
        <v>0</v>
      </c>
      <c r="M25" s="35">
        <f t="shared" si="41"/>
        <v>-4362</v>
      </c>
      <c r="N25" s="35">
        <f t="shared" si="41"/>
        <v>-386</v>
      </c>
      <c r="O25" s="35">
        <f t="shared" si="41"/>
        <v>0</v>
      </c>
      <c r="P25" s="35">
        <f t="shared" si="41"/>
        <v>0</v>
      </c>
      <c r="Q25" s="35">
        <f t="shared" si="41"/>
        <v>-11391</v>
      </c>
      <c r="R25" s="117">
        <f t="shared" si="41"/>
        <v>0</v>
      </c>
      <c r="S25" s="35">
        <f t="shared" si="41"/>
        <v>0</v>
      </c>
      <c r="T25" s="35">
        <f t="shared" si="41"/>
        <v>0</v>
      </c>
      <c r="U25" s="35">
        <f t="shared" si="41"/>
        <v>0</v>
      </c>
      <c r="V25" s="35">
        <f t="shared" si="41"/>
        <v>111117</v>
      </c>
      <c r="W25" s="35">
        <f t="shared" si="41"/>
        <v>2310</v>
      </c>
      <c r="X25" s="35">
        <f t="shared" si="41"/>
        <v>27380</v>
      </c>
      <c r="Y25" s="35">
        <f t="shared" si="41"/>
        <v>0</v>
      </c>
      <c r="Z25" s="35">
        <f t="shared" si="41"/>
        <v>0</v>
      </c>
      <c r="AA25" s="35">
        <f t="shared" si="41"/>
        <v>0</v>
      </c>
      <c r="AB25" s="35">
        <f t="shared" si="41"/>
        <v>0</v>
      </c>
      <c r="AC25" s="35">
        <f t="shared" si="41"/>
        <v>0</v>
      </c>
      <c r="AD25" s="35">
        <f t="shared" si="41"/>
        <v>0</v>
      </c>
      <c r="AE25" s="35">
        <f t="shared" si="41"/>
        <v>0</v>
      </c>
      <c r="AF25" s="117">
        <f t="shared" si="41"/>
        <v>0</v>
      </c>
      <c r="AG25" s="35">
        <f t="shared" si="41"/>
        <v>0</v>
      </c>
      <c r="AH25" s="35">
        <f t="shared" si="41"/>
        <v>0</v>
      </c>
      <c r="AI25" s="35">
        <f t="shared" si="41"/>
        <v>0</v>
      </c>
      <c r="AJ25" s="35">
        <f t="shared" ref="AJ25:BB25" si="42">SUM(AJ26:AJ29)</f>
        <v>0</v>
      </c>
      <c r="AK25" s="35">
        <f t="shared" si="42"/>
        <v>0</v>
      </c>
      <c r="AL25" s="35">
        <f t="shared" si="42"/>
        <v>29690</v>
      </c>
      <c r="AM25" s="35">
        <f t="shared" si="42"/>
        <v>0</v>
      </c>
      <c r="AN25" s="35">
        <f t="shared" si="42"/>
        <v>0</v>
      </c>
      <c r="AO25" s="35">
        <f t="shared" si="42"/>
        <v>0</v>
      </c>
      <c r="AP25" s="35">
        <f t="shared" si="42"/>
        <v>0</v>
      </c>
      <c r="AQ25" s="35">
        <f t="shared" si="42"/>
        <v>0</v>
      </c>
      <c r="AR25" s="35">
        <f t="shared" si="42"/>
        <v>0</v>
      </c>
      <c r="AS25" s="35">
        <f t="shared" si="42"/>
        <v>0</v>
      </c>
      <c r="AT25" s="35">
        <f t="shared" si="42"/>
        <v>0</v>
      </c>
      <c r="AU25" s="117">
        <f t="shared" si="42"/>
        <v>0</v>
      </c>
      <c r="AV25" s="35">
        <f t="shared" si="42"/>
        <v>0</v>
      </c>
      <c r="AW25" s="35">
        <f t="shared" si="42"/>
        <v>0</v>
      </c>
      <c r="AX25" s="35">
        <f t="shared" si="42"/>
        <v>0</v>
      </c>
      <c r="AY25" s="35">
        <f t="shared" si="42"/>
        <v>0</v>
      </c>
      <c r="AZ25" s="35">
        <f t="shared" si="42"/>
        <v>0</v>
      </c>
      <c r="BA25" s="35">
        <f t="shared" si="42"/>
        <v>0</v>
      </c>
      <c r="BB25" s="35">
        <f t="shared" si="42"/>
        <v>0</v>
      </c>
    </row>
    <row r="26" spans="1:79" s="44" customFormat="1" ht="15.75" hidden="1" x14ac:dyDescent="0.25">
      <c r="A26" s="78"/>
      <c r="B26" s="40"/>
      <c r="C26" s="41">
        <v>913</v>
      </c>
      <c r="D26" s="42"/>
      <c r="E26" s="42">
        <f>36216</f>
        <v>36216</v>
      </c>
      <c r="F26" s="42"/>
      <c r="G26" s="42"/>
      <c r="H26" s="42"/>
      <c r="I26" s="42"/>
      <c r="J26" s="42"/>
      <c r="K26" s="42"/>
      <c r="L26" s="42"/>
      <c r="M26" s="42">
        <v>-4362</v>
      </c>
      <c r="N26" s="42">
        <v>-339</v>
      </c>
      <c r="O26" s="42"/>
      <c r="P26" s="42"/>
      <c r="Q26" s="42">
        <f>-5077-5354</f>
        <v>-10431</v>
      </c>
      <c r="R26" s="118"/>
      <c r="S26" s="42"/>
      <c r="T26" s="42"/>
      <c r="U26" s="42"/>
      <c r="V26" s="42">
        <f t="shared" ref="V26:V29" si="43">SUM(D26:U26)</f>
        <v>21084</v>
      </c>
      <c r="W26" s="42"/>
      <c r="X26" s="42"/>
      <c r="Y26" s="42"/>
      <c r="Z26" s="42"/>
      <c r="AA26" s="42"/>
      <c r="AB26" s="42"/>
      <c r="AC26" s="42"/>
      <c r="AD26" s="42"/>
      <c r="AE26" s="42"/>
      <c r="AF26" s="118"/>
      <c r="AG26" s="42"/>
      <c r="AH26" s="42"/>
      <c r="AI26" s="42"/>
      <c r="AJ26" s="42"/>
      <c r="AK26" s="42"/>
      <c r="AL26" s="42">
        <f>SUM(W26:AK26)</f>
        <v>0</v>
      </c>
      <c r="AM26" s="42"/>
      <c r="AN26" s="42"/>
      <c r="AO26" s="42"/>
      <c r="AP26" s="42"/>
      <c r="AQ26" s="42"/>
      <c r="AR26" s="42"/>
      <c r="AS26" s="42"/>
      <c r="AT26" s="42"/>
      <c r="AU26" s="118"/>
      <c r="AV26" s="42"/>
      <c r="AW26" s="42"/>
      <c r="AX26" s="42"/>
      <c r="AY26" s="42"/>
      <c r="AZ26" s="42"/>
      <c r="BA26" s="42"/>
      <c r="BB26" s="42">
        <f t="shared" ref="BB26:BB29" si="44">SUM(AM26:BA26)</f>
        <v>0</v>
      </c>
    </row>
    <row r="27" spans="1:79" s="44" customFormat="1" ht="15.75" hidden="1" x14ac:dyDescent="0.25">
      <c r="A27" s="78"/>
      <c r="B27" s="40"/>
      <c r="C27" s="41">
        <v>915</v>
      </c>
      <c r="D27" s="42">
        <v>2310</v>
      </c>
      <c r="E27" s="42">
        <f>28094</f>
        <v>28094</v>
      </c>
      <c r="F27" s="42"/>
      <c r="G27" s="42"/>
      <c r="H27" s="42"/>
      <c r="I27" s="42"/>
      <c r="J27" s="42"/>
      <c r="K27" s="42">
        <v>-8</v>
      </c>
      <c r="L27" s="42"/>
      <c r="M27" s="42"/>
      <c r="N27" s="42">
        <f>2143-1000</f>
        <v>1143</v>
      </c>
      <c r="O27" s="42"/>
      <c r="P27" s="42"/>
      <c r="Q27" s="42"/>
      <c r="R27" s="118"/>
      <c r="S27" s="42"/>
      <c r="T27" s="42"/>
      <c r="U27" s="42"/>
      <c r="V27" s="42">
        <f t="shared" si="43"/>
        <v>31539</v>
      </c>
      <c r="W27" s="42">
        <v>2310</v>
      </c>
      <c r="X27" s="42">
        <f>27380</f>
        <v>27380</v>
      </c>
      <c r="Y27" s="42"/>
      <c r="Z27" s="42"/>
      <c r="AA27" s="42"/>
      <c r="AB27" s="42"/>
      <c r="AC27" s="42"/>
      <c r="AD27" s="42"/>
      <c r="AE27" s="42"/>
      <c r="AF27" s="118"/>
      <c r="AG27" s="42"/>
      <c r="AH27" s="42"/>
      <c r="AI27" s="42"/>
      <c r="AJ27" s="42"/>
      <c r="AK27" s="42"/>
      <c r="AL27" s="42">
        <f>SUM(W27:AK27)</f>
        <v>29690</v>
      </c>
      <c r="AM27" s="42"/>
      <c r="AN27" s="42"/>
      <c r="AO27" s="42"/>
      <c r="AP27" s="42"/>
      <c r="AQ27" s="42"/>
      <c r="AR27" s="42"/>
      <c r="AS27" s="42"/>
      <c r="AT27" s="42"/>
      <c r="AU27" s="118"/>
      <c r="AV27" s="42"/>
      <c r="AW27" s="42"/>
      <c r="AX27" s="42"/>
      <c r="AY27" s="42"/>
      <c r="AZ27" s="42"/>
      <c r="BA27" s="42"/>
      <c r="BB27" s="42">
        <f t="shared" si="44"/>
        <v>0</v>
      </c>
    </row>
    <row r="28" spans="1:79" s="44" customFormat="1" ht="15.75" hidden="1" x14ac:dyDescent="0.25">
      <c r="A28" s="78"/>
      <c r="B28" s="40"/>
      <c r="C28" s="41">
        <v>921</v>
      </c>
      <c r="D28" s="42"/>
      <c r="E28" s="42">
        <f>42896+17237+503</f>
        <v>60636</v>
      </c>
      <c r="F28" s="42"/>
      <c r="G28" s="42"/>
      <c r="H28" s="42"/>
      <c r="I28" s="42"/>
      <c r="J28" s="42"/>
      <c r="K28" s="42">
        <f>-22+30</f>
        <v>8</v>
      </c>
      <c r="L28" s="42"/>
      <c r="M28" s="42"/>
      <c r="N28" s="42">
        <f>-1118-72</f>
        <v>-1190</v>
      </c>
      <c r="O28" s="42"/>
      <c r="P28" s="42"/>
      <c r="Q28" s="42">
        <f>-829-960+829</f>
        <v>-960</v>
      </c>
      <c r="R28" s="118"/>
      <c r="S28" s="42"/>
      <c r="T28" s="42"/>
      <c r="U28" s="42"/>
      <c r="V28" s="42">
        <f t="shared" si="43"/>
        <v>58494</v>
      </c>
      <c r="W28" s="42"/>
      <c r="X28" s="42"/>
      <c r="Y28" s="42"/>
      <c r="Z28" s="42"/>
      <c r="AA28" s="42"/>
      <c r="AB28" s="42"/>
      <c r="AC28" s="42"/>
      <c r="AD28" s="42"/>
      <c r="AE28" s="42"/>
      <c r="AF28" s="118"/>
      <c r="AG28" s="42"/>
      <c r="AH28" s="42"/>
      <c r="AI28" s="42"/>
      <c r="AJ28" s="42"/>
      <c r="AK28" s="42"/>
      <c r="AL28" s="42">
        <f>SUM(W28:AK28)</f>
        <v>0</v>
      </c>
      <c r="AM28" s="42"/>
      <c r="AN28" s="42"/>
      <c r="AO28" s="42"/>
      <c r="AP28" s="42"/>
      <c r="AQ28" s="42"/>
      <c r="AR28" s="42"/>
      <c r="AS28" s="42"/>
      <c r="AT28" s="42"/>
      <c r="AU28" s="118"/>
      <c r="AV28" s="42"/>
      <c r="AW28" s="42"/>
      <c r="AX28" s="42"/>
      <c r="AY28" s="42"/>
      <c r="AZ28" s="42"/>
      <c r="BA28" s="42"/>
      <c r="BB28" s="42">
        <f t="shared" si="44"/>
        <v>0</v>
      </c>
    </row>
    <row r="29" spans="1:79" s="44" customFormat="1" ht="15.75" hidden="1" x14ac:dyDescent="0.25">
      <c r="A29" s="78"/>
      <c r="B29" s="40"/>
      <c r="C29" s="41">
        <v>924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118"/>
      <c r="S29" s="42"/>
      <c r="T29" s="42"/>
      <c r="U29" s="42"/>
      <c r="V29" s="42">
        <f t="shared" si="43"/>
        <v>0</v>
      </c>
      <c r="W29" s="42"/>
      <c r="X29" s="42"/>
      <c r="Y29" s="42"/>
      <c r="Z29" s="42"/>
      <c r="AA29" s="42"/>
      <c r="AB29" s="42"/>
      <c r="AC29" s="42"/>
      <c r="AD29" s="42"/>
      <c r="AE29" s="42"/>
      <c r="AF29" s="118"/>
      <c r="AG29" s="42"/>
      <c r="AH29" s="42"/>
      <c r="AI29" s="42"/>
      <c r="AJ29" s="42"/>
      <c r="AK29" s="42"/>
      <c r="AL29" s="42">
        <f>SUM(W29:AK29)</f>
        <v>0</v>
      </c>
      <c r="AM29" s="42"/>
      <c r="AN29" s="42"/>
      <c r="AO29" s="42"/>
      <c r="AP29" s="42"/>
      <c r="AQ29" s="42"/>
      <c r="AR29" s="42"/>
      <c r="AS29" s="42"/>
      <c r="AT29" s="42"/>
      <c r="AU29" s="118"/>
      <c r="AV29" s="42"/>
      <c r="AW29" s="42"/>
      <c r="AX29" s="42"/>
      <c r="AY29" s="42"/>
      <c r="AZ29" s="42"/>
      <c r="BA29" s="42"/>
      <c r="BB29" s="42">
        <f t="shared" si="44"/>
        <v>0</v>
      </c>
    </row>
    <row r="30" spans="1:79" s="19" customFormat="1" ht="31.5" x14ac:dyDescent="0.25">
      <c r="A30" s="78" t="s">
        <v>9</v>
      </c>
      <c r="B30" s="33" t="s">
        <v>37</v>
      </c>
      <c r="C30" s="94" t="s">
        <v>86</v>
      </c>
      <c r="D30" s="13">
        <v>1229</v>
      </c>
      <c r="E30" s="13"/>
      <c r="F30" s="13"/>
      <c r="G30" s="13"/>
      <c r="H30" s="13"/>
      <c r="I30" s="13"/>
      <c r="J30" s="13"/>
      <c r="K30" s="13"/>
      <c r="L30" s="13"/>
      <c r="M30" s="13"/>
      <c r="N30" s="13">
        <v>-190</v>
      </c>
      <c r="O30" s="13"/>
      <c r="P30" s="13"/>
      <c r="Q30" s="13"/>
      <c r="R30" s="115"/>
      <c r="S30" s="13"/>
      <c r="T30" s="13"/>
      <c r="U30" s="13"/>
      <c r="V30" s="13">
        <f>SUM(D30:U30)</f>
        <v>1039</v>
      </c>
      <c r="W30" s="13"/>
      <c r="X30" s="13"/>
      <c r="Y30" s="13"/>
      <c r="Z30" s="13"/>
      <c r="AA30" s="13"/>
      <c r="AB30" s="13"/>
      <c r="AC30" s="13"/>
      <c r="AD30" s="13"/>
      <c r="AE30" s="13"/>
      <c r="AF30" s="115"/>
      <c r="AG30" s="13"/>
      <c r="AH30" s="13"/>
      <c r="AI30" s="13"/>
      <c r="AJ30" s="13"/>
      <c r="AK30" s="13"/>
      <c r="AL30" s="13">
        <f>SUM(W30:AK30)</f>
        <v>0</v>
      </c>
      <c r="AM30" s="35"/>
      <c r="AN30" s="13"/>
      <c r="AO30" s="13"/>
      <c r="AP30" s="13"/>
      <c r="AQ30" s="13"/>
      <c r="AR30" s="13"/>
      <c r="AS30" s="13"/>
      <c r="AT30" s="13"/>
      <c r="AU30" s="115"/>
      <c r="AV30" s="13"/>
      <c r="AW30" s="13"/>
      <c r="AX30" s="13"/>
      <c r="AY30" s="13"/>
      <c r="AZ30" s="13"/>
      <c r="BA30" s="13"/>
      <c r="BB30" s="35">
        <f>SUM(AM30:BA30)</f>
        <v>0</v>
      </c>
    </row>
    <row r="31" spans="1:79" s="19" customFormat="1" ht="33.75" customHeight="1" x14ac:dyDescent="0.25">
      <c r="A31" s="78" t="s">
        <v>10</v>
      </c>
      <c r="B31" s="33" t="s">
        <v>38</v>
      </c>
      <c r="C31" s="34" t="s">
        <v>80</v>
      </c>
      <c r="D31" s="35">
        <f t="shared" ref="D31" si="45">SUM(D32:D34)</f>
        <v>2618540</v>
      </c>
      <c r="E31" s="35">
        <f t="shared" ref="E31" si="46">SUM(E32:E34)</f>
        <v>4833</v>
      </c>
      <c r="F31" s="35">
        <f t="shared" ref="F31" si="47">SUM(F32:F34)</f>
        <v>320468</v>
      </c>
      <c r="G31" s="35">
        <f t="shared" ref="G31" si="48">SUM(G32:G34)</f>
        <v>1500</v>
      </c>
      <c r="H31" s="35">
        <f t="shared" ref="H31:I31" si="49">SUM(H32:H34)</f>
        <v>4976175</v>
      </c>
      <c r="I31" s="35">
        <f t="shared" si="49"/>
        <v>0</v>
      </c>
      <c r="J31" s="35">
        <f t="shared" ref="J31" si="50">SUM(J32:J34)</f>
        <v>326759</v>
      </c>
      <c r="K31" s="35">
        <f t="shared" ref="K31" si="51">SUM(K32:K34)</f>
        <v>35708</v>
      </c>
      <c r="L31" s="35">
        <f t="shared" ref="L31" si="52">SUM(L32:L34)</f>
        <v>228</v>
      </c>
      <c r="M31" s="35">
        <f t="shared" ref="M31" si="53">SUM(M32:M34)</f>
        <v>4362</v>
      </c>
      <c r="N31" s="35">
        <f t="shared" ref="N31" si="54">SUM(N32:N34)</f>
        <v>166087</v>
      </c>
      <c r="O31" s="35">
        <f t="shared" ref="O31" si="55">SUM(O32:O34)</f>
        <v>0</v>
      </c>
      <c r="P31" s="35">
        <f t="shared" ref="P31" si="56">SUM(P32:P34)</f>
        <v>0</v>
      </c>
      <c r="Q31" s="35">
        <f t="shared" ref="Q31" si="57">SUM(Q32:Q34)</f>
        <v>-5656</v>
      </c>
      <c r="R31" s="117">
        <f t="shared" ref="R31" si="58">SUM(R32:R34)</f>
        <v>0</v>
      </c>
      <c r="S31" s="35">
        <f t="shared" ref="S31" si="59">SUM(S32:S34)</f>
        <v>0</v>
      </c>
      <c r="T31" s="35">
        <f t="shared" ref="T31" si="60">SUM(T32:T34)</f>
        <v>0</v>
      </c>
      <c r="U31" s="35">
        <f t="shared" ref="U31" si="61">SUM(U32:U34)</f>
        <v>0</v>
      </c>
      <c r="V31" s="35">
        <f t="shared" ref="V31" si="62">SUM(V32:V34)</f>
        <v>8449004</v>
      </c>
      <c r="W31" s="35">
        <f t="shared" ref="W31" si="63">SUM(W32:W34)</f>
        <v>2598898</v>
      </c>
      <c r="X31" s="35">
        <f t="shared" ref="X31" si="64">SUM(X32:X34)</f>
        <v>2790</v>
      </c>
      <c r="Y31" s="35">
        <f t="shared" ref="Y31" si="65">SUM(Y32:Y34)</f>
        <v>216158</v>
      </c>
      <c r="Z31" s="35">
        <f t="shared" ref="Z31" si="66">SUM(Z32:Z34)</f>
        <v>4899583</v>
      </c>
      <c r="AA31" s="35">
        <f t="shared" ref="AA31" si="67">SUM(AA32:AA34)</f>
        <v>312161</v>
      </c>
      <c r="AB31" s="35">
        <f t="shared" ref="AB31" si="68">SUM(AB32:AB34)</f>
        <v>-2361</v>
      </c>
      <c r="AC31" s="35">
        <f t="shared" ref="AC31" si="69">SUM(AC32:AC34)</f>
        <v>0</v>
      </c>
      <c r="AD31" s="35">
        <f t="shared" ref="AD31" si="70">SUM(AD32:AD34)</f>
        <v>1750</v>
      </c>
      <c r="AE31" s="35">
        <f t="shared" ref="AE31" si="71">SUM(AE32:AE34)</f>
        <v>0</v>
      </c>
      <c r="AF31" s="117">
        <f t="shared" ref="AF31" si="72">SUM(AF32:AF34)</f>
        <v>755</v>
      </c>
      <c r="AG31" s="35">
        <f t="shared" ref="AG31" si="73">SUM(AG32:AG34)</f>
        <v>0</v>
      </c>
      <c r="AH31" s="35">
        <f t="shared" ref="AH31" si="74">SUM(AH32:AH34)</f>
        <v>0</v>
      </c>
      <c r="AI31" s="35">
        <f t="shared" ref="AI31" si="75">SUM(AI32:AI34)</f>
        <v>0</v>
      </c>
      <c r="AJ31" s="35">
        <f t="shared" ref="AJ31" si="76">SUM(AJ32:AJ34)</f>
        <v>0</v>
      </c>
      <c r="AK31" s="35">
        <f t="shared" ref="AK31" si="77">SUM(AK32:AK34)</f>
        <v>0</v>
      </c>
      <c r="AL31" s="35">
        <f t="shared" ref="AL31:BA31" si="78">SUM(AL32:AL34)</f>
        <v>8029734</v>
      </c>
      <c r="AM31" s="35">
        <f t="shared" si="78"/>
        <v>2584804</v>
      </c>
      <c r="AN31" s="35">
        <f t="shared" si="78"/>
        <v>0</v>
      </c>
      <c r="AO31" s="35">
        <f t="shared" si="78"/>
        <v>6560</v>
      </c>
      <c r="AP31" s="35">
        <f t="shared" si="78"/>
        <v>5076075</v>
      </c>
      <c r="AQ31" s="35">
        <f t="shared" si="78"/>
        <v>313939</v>
      </c>
      <c r="AR31" s="35">
        <f t="shared" si="78"/>
        <v>-2361</v>
      </c>
      <c r="AS31" s="35">
        <f t="shared" si="78"/>
        <v>0</v>
      </c>
      <c r="AT31" s="35">
        <f t="shared" si="78"/>
        <v>0</v>
      </c>
      <c r="AU31" s="117">
        <f t="shared" si="78"/>
        <v>0</v>
      </c>
      <c r="AV31" s="35">
        <f t="shared" si="78"/>
        <v>0</v>
      </c>
      <c r="AW31" s="35">
        <f t="shared" si="78"/>
        <v>0</v>
      </c>
      <c r="AX31" s="35">
        <f t="shared" si="78"/>
        <v>0</v>
      </c>
      <c r="AY31" s="35">
        <f t="shared" si="78"/>
        <v>0</v>
      </c>
      <c r="AZ31" s="35">
        <f t="shared" si="78"/>
        <v>0</v>
      </c>
      <c r="BA31" s="35">
        <f t="shared" si="78"/>
        <v>0</v>
      </c>
      <c r="BB31" s="35">
        <f>SUM(BB32:BB34)</f>
        <v>7979017</v>
      </c>
    </row>
    <row r="32" spans="1:79" s="44" customFormat="1" ht="15" hidden="1" customHeight="1" x14ac:dyDescent="0.25">
      <c r="A32" s="79"/>
      <c r="B32" s="55"/>
      <c r="C32" s="41">
        <v>913</v>
      </c>
      <c r="D32" s="42">
        <v>2608960</v>
      </c>
      <c r="E32" s="42">
        <f>744+452+3619+18</f>
        <v>4833</v>
      </c>
      <c r="F32" s="42">
        <f>60482+217200+13889+7192+7148+14557</f>
        <v>320468</v>
      </c>
      <c r="G32" s="42">
        <f>1500</f>
        <v>1500</v>
      </c>
      <c r="H32" s="42">
        <f>39532+768+737+353787+20107+30202+5791+4510226</f>
        <v>4961150</v>
      </c>
      <c r="I32" s="42"/>
      <c r="J32" s="42">
        <f>21799+304960</f>
        <v>326759</v>
      </c>
      <c r="K32" s="42">
        <f>97+51-841-932+6800+29333+790+410</f>
        <v>35708</v>
      </c>
      <c r="L32" s="42">
        <v>228</v>
      </c>
      <c r="M32" s="42">
        <v>4362</v>
      </c>
      <c r="N32" s="42">
        <f>893+48404+39694-2127-7503+88604+2528+5174</f>
        <v>175667</v>
      </c>
      <c r="O32" s="42"/>
      <c r="P32" s="42"/>
      <c r="Q32" s="42">
        <f>205-537-38617+5077-1191-20+25026-205-259-623-755</f>
        <v>-11899</v>
      </c>
      <c r="R32" s="118"/>
      <c r="S32" s="42"/>
      <c r="T32" s="42"/>
      <c r="U32" s="42"/>
      <c r="V32" s="42">
        <f t="shared" ref="V32:V33" si="79">SUM(D32:U32)</f>
        <v>8427736</v>
      </c>
      <c r="W32" s="42">
        <v>2584804</v>
      </c>
      <c r="X32" s="42">
        <f>2785+5</f>
        <v>2790</v>
      </c>
      <c r="Y32" s="42">
        <f>216158</f>
        <v>216158</v>
      </c>
      <c r="Z32" s="42">
        <f>35372-5306+768+737+343750+4524262</f>
        <v>4899583</v>
      </c>
      <c r="AA32" s="42">
        <f>312161</f>
        <v>312161</v>
      </c>
      <c r="AB32" s="42">
        <f>-2771+410</f>
        <v>-2361</v>
      </c>
      <c r="AC32" s="42"/>
      <c r="AD32" s="42">
        <v>1750</v>
      </c>
      <c r="AE32" s="42"/>
      <c r="AF32" s="118">
        <f>755</f>
        <v>755</v>
      </c>
      <c r="AG32" s="42"/>
      <c r="AH32" s="42"/>
      <c r="AI32" s="42"/>
      <c r="AJ32" s="42"/>
      <c r="AK32" s="42"/>
      <c r="AL32" s="42">
        <f>SUM(W32:AK32)</f>
        <v>8015640</v>
      </c>
      <c r="AM32" s="42">
        <v>2584804</v>
      </c>
      <c r="AN32" s="42"/>
      <c r="AO32" s="42">
        <f>6560</f>
        <v>6560</v>
      </c>
      <c r="AP32" s="42">
        <f>21745-3262+768+737+320368+212226+4523493</f>
        <v>5076075</v>
      </c>
      <c r="AQ32" s="42">
        <f>313939</f>
        <v>313939</v>
      </c>
      <c r="AR32" s="42">
        <f>-2771+410</f>
        <v>-2361</v>
      </c>
      <c r="AS32" s="42"/>
      <c r="AT32" s="42"/>
      <c r="AU32" s="118"/>
      <c r="AV32" s="42"/>
      <c r="AW32" s="42"/>
      <c r="AX32" s="42"/>
      <c r="AY32" s="42"/>
      <c r="AZ32" s="42"/>
      <c r="BA32" s="42"/>
      <c r="BB32" s="42">
        <f t="shared" ref="BB32:BB33" si="80">SUM(AM32:BA32)</f>
        <v>7979017</v>
      </c>
    </row>
    <row r="33" spans="1:54" s="44" customFormat="1" ht="15" hidden="1" customHeight="1" x14ac:dyDescent="0.25">
      <c r="A33" s="79"/>
      <c r="B33" s="55"/>
      <c r="C33" s="41">
        <v>914</v>
      </c>
      <c r="D33" s="42">
        <v>9580</v>
      </c>
      <c r="E33" s="42"/>
      <c r="F33" s="42"/>
      <c r="G33" s="42"/>
      <c r="H33" s="42">
        <f>751+14274</f>
        <v>15025</v>
      </c>
      <c r="I33" s="42"/>
      <c r="J33" s="42"/>
      <c r="K33" s="42"/>
      <c r="L33" s="42"/>
      <c r="M33" s="42"/>
      <c r="N33" s="42">
        <v>-9580</v>
      </c>
      <c r="O33" s="42"/>
      <c r="P33" s="42"/>
      <c r="Q33" s="42">
        <v>6243</v>
      </c>
      <c r="R33" s="118"/>
      <c r="S33" s="42"/>
      <c r="T33" s="42"/>
      <c r="U33" s="42"/>
      <c r="V33" s="42">
        <f t="shared" si="79"/>
        <v>21268</v>
      </c>
      <c r="W33" s="42">
        <v>14094</v>
      </c>
      <c r="X33" s="42"/>
      <c r="Y33" s="42"/>
      <c r="Z33" s="42"/>
      <c r="AA33" s="42"/>
      <c r="AB33" s="42"/>
      <c r="AC33" s="42"/>
      <c r="AD33" s="42"/>
      <c r="AE33" s="42"/>
      <c r="AF33" s="118"/>
      <c r="AG33" s="42"/>
      <c r="AH33" s="42"/>
      <c r="AI33" s="42"/>
      <c r="AJ33" s="42"/>
      <c r="AK33" s="42"/>
      <c r="AL33" s="42">
        <f>SUM(W33:AK33)</f>
        <v>14094</v>
      </c>
      <c r="AM33" s="42"/>
      <c r="AN33" s="42"/>
      <c r="AO33" s="42"/>
      <c r="AP33" s="42"/>
      <c r="AQ33" s="42"/>
      <c r="AR33" s="42"/>
      <c r="AS33" s="42"/>
      <c r="AT33" s="42"/>
      <c r="AU33" s="118"/>
      <c r="AV33" s="42"/>
      <c r="AW33" s="42"/>
      <c r="AX33" s="42"/>
      <c r="AY33" s="42"/>
      <c r="AZ33" s="42"/>
      <c r="BA33" s="42"/>
      <c r="BB33" s="42">
        <f t="shared" si="80"/>
        <v>0</v>
      </c>
    </row>
    <row r="34" spans="1:54" s="44" customFormat="1" ht="15.75" hidden="1" x14ac:dyDescent="0.25">
      <c r="A34" s="79"/>
      <c r="B34" s="55"/>
      <c r="C34" s="41">
        <v>920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118"/>
      <c r="S34" s="42"/>
      <c r="T34" s="42"/>
      <c r="U34" s="42"/>
      <c r="V34" s="42">
        <f t="shared" ref="V34" si="81">SUM(D34:U34)</f>
        <v>0</v>
      </c>
      <c r="W34" s="42"/>
      <c r="X34" s="42"/>
      <c r="Y34" s="42"/>
      <c r="Z34" s="42"/>
      <c r="AA34" s="42"/>
      <c r="AB34" s="42"/>
      <c r="AC34" s="42"/>
      <c r="AD34" s="42"/>
      <c r="AE34" s="42"/>
      <c r="AF34" s="118"/>
      <c r="AG34" s="42"/>
      <c r="AH34" s="42"/>
      <c r="AI34" s="42"/>
      <c r="AJ34" s="42"/>
      <c r="AK34" s="42"/>
      <c r="AL34" s="42">
        <f>SUM(W34:AK34)</f>
        <v>0</v>
      </c>
      <c r="AM34" s="42"/>
      <c r="AN34" s="42"/>
      <c r="AO34" s="42"/>
      <c r="AP34" s="42"/>
      <c r="AQ34" s="42"/>
      <c r="AR34" s="42"/>
      <c r="AS34" s="42"/>
      <c r="AT34" s="42"/>
      <c r="AU34" s="118"/>
      <c r="AV34" s="42"/>
      <c r="AW34" s="42"/>
      <c r="AX34" s="42"/>
      <c r="AY34" s="42"/>
      <c r="AZ34" s="42"/>
      <c r="BA34" s="42"/>
      <c r="BB34" s="42">
        <f t="shared" ref="BB34" si="82">SUM(AM34:BA34)</f>
        <v>0</v>
      </c>
    </row>
    <row r="35" spans="1:54" s="19" customFormat="1" ht="31.5" x14ac:dyDescent="0.25">
      <c r="A35" s="78" t="s">
        <v>11</v>
      </c>
      <c r="B35" s="33" t="s">
        <v>39</v>
      </c>
      <c r="C35" s="96" t="s">
        <v>81</v>
      </c>
      <c r="D35" s="13">
        <v>131792</v>
      </c>
      <c r="E35" s="13"/>
      <c r="F35" s="13">
        <f>201297</f>
        <v>201297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15"/>
      <c r="S35" s="13"/>
      <c r="T35" s="13"/>
      <c r="U35" s="13"/>
      <c r="V35" s="13">
        <f>SUM(D35:U35)</f>
        <v>333089</v>
      </c>
      <c r="W35" s="13">
        <v>131792</v>
      </c>
      <c r="X35" s="13"/>
      <c r="Y35" s="13">
        <f>203733</f>
        <v>203733</v>
      </c>
      <c r="Z35" s="13"/>
      <c r="AA35" s="13"/>
      <c r="AB35" s="13"/>
      <c r="AC35" s="13"/>
      <c r="AD35" s="13"/>
      <c r="AE35" s="13"/>
      <c r="AF35" s="115"/>
      <c r="AG35" s="13"/>
      <c r="AH35" s="13"/>
      <c r="AI35" s="13"/>
      <c r="AJ35" s="13"/>
      <c r="AK35" s="13"/>
      <c r="AL35" s="13">
        <f>SUM(W35:AK35)</f>
        <v>335525</v>
      </c>
      <c r="AM35" s="13">
        <v>131792</v>
      </c>
      <c r="AN35" s="13"/>
      <c r="AO35" s="13">
        <v>207040</v>
      </c>
      <c r="AP35" s="13"/>
      <c r="AQ35" s="13"/>
      <c r="AR35" s="13"/>
      <c r="AS35" s="13"/>
      <c r="AT35" s="13"/>
      <c r="AU35" s="115"/>
      <c r="AV35" s="13"/>
      <c r="AW35" s="13"/>
      <c r="AX35" s="13"/>
      <c r="AY35" s="13"/>
      <c r="AZ35" s="13"/>
      <c r="BA35" s="13"/>
      <c r="BB35" s="13">
        <f>SUM(AM35:BA35)</f>
        <v>338832</v>
      </c>
    </row>
    <row r="36" spans="1:54" s="19" customFormat="1" ht="64.5" customHeight="1" x14ac:dyDescent="0.25">
      <c r="A36" s="78" t="s">
        <v>12</v>
      </c>
      <c r="B36" s="33" t="s">
        <v>40</v>
      </c>
      <c r="C36" s="34" t="s">
        <v>72</v>
      </c>
      <c r="D36" s="35">
        <f t="shared" ref="D36:V36" si="83">SUM(D37:D44)</f>
        <v>103652</v>
      </c>
      <c r="E36" s="35">
        <f t="shared" si="83"/>
        <v>0</v>
      </c>
      <c r="F36" s="35">
        <f t="shared" si="83"/>
        <v>2855</v>
      </c>
      <c r="G36" s="35">
        <f t="shared" si="83"/>
        <v>0</v>
      </c>
      <c r="H36" s="35">
        <f t="shared" si="83"/>
        <v>0</v>
      </c>
      <c r="I36" s="35">
        <f t="shared" si="83"/>
        <v>0</v>
      </c>
      <c r="J36" s="35">
        <f t="shared" si="83"/>
        <v>22917</v>
      </c>
      <c r="K36" s="35">
        <f t="shared" si="83"/>
        <v>10078</v>
      </c>
      <c r="L36" s="35">
        <f t="shared" si="83"/>
        <v>3149</v>
      </c>
      <c r="M36" s="35">
        <f t="shared" si="83"/>
        <v>0</v>
      </c>
      <c r="N36" s="35">
        <f t="shared" si="83"/>
        <v>-316</v>
      </c>
      <c r="O36" s="35">
        <f t="shared" si="83"/>
        <v>0</v>
      </c>
      <c r="P36" s="35">
        <f t="shared" si="83"/>
        <v>0</v>
      </c>
      <c r="Q36" s="35">
        <f t="shared" si="83"/>
        <v>-5419</v>
      </c>
      <c r="R36" s="117">
        <f t="shared" si="83"/>
        <v>0</v>
      </c>
      <c r="S36" s="35">
        <f t="shared" si="83"/>
        <v>0</v>
      </c>
      <c r="T36" s="35">
        <f t="shared" si="83"/>
        <v>0</v>
      </c>
      <c r="U36" s="35">
        <f t="shared" si="83"/>
        <v>0</v>
      </c>
      <c r="V36" s="35">
        <f t="shared" si="83"/>
        <v>136916</v>
      </c>
      <c r="W36" s="35">
        <f t="shared" ref="W36:BB36" si="84">SUM(W37:W44)</f>
        <v>104898</v>
      </c>
      <c r="X36" s="35">
        <f t="shared" si="84"/>
        <v>0</v>
      </c>
      <c r="Y36" s="35">
        <f t="shared" si="84"/>
        <v>0</v>
      </c>
      <c r="Z36" s="35">
        <f t="shared" si="84"/>
        <v>0</v>
      </c>
      <c r="AA36" s="35">
        <f t="shared" si="84"/>
        <v>11142</v>
      </c>
      <c r="AB36" s="35">
        <f t="shared" si="84"/>
        <v>600</v>
      </c>
      <c r="AC36" s="35">
        <f t="shared" si="84"/>
        <v>0</v>
      </c>
      <c r="AD36" s="35">
        <f t="shared" ref="AD36:AI36" si="85">SUM(AD37:AD44)</f>
        <v>0</v>
      </c>
      <c r="AE36" s="35">
        <f t="shared" ref="AE36" si="86">SUM(AE37:AE44)</f>
        <v>0</v>
      </c>
      <c r="AF36" s="117">
        <f t="shared" si="85"/>
        <v>204</v>
      </c>
      <c r="AG36" s="35">
        <f t="shared" si="85"/>
        <v>0</v>
      </c>
      <c r="AH36" s="35">
        <f t="shared" si="85"/>
        <v>0</v>
      </c>
      <c r="AI36" s="35">
        <f t="shared" si="85"/>
        <v>0</v>
      </c>
      <c r="AJ36" s="35">
        <f t="shared" si="84"/>
        <v>0</v>
      </c>
      <c r="AK36" s="35">
        <f t="shared" si="84"/>
        <v>0</v>
      </c>
      <c r="AL36" s="35">
        <f t="shared" si="84"/>
        <v>116844</v>
      </c>
      <c r="AM36" s="35">
        <f t="shared" si="84"/>
        <v>104497</v>
      </c>
      <c r="AN36" s="35">
        <f t="shared" si="84"/>
        <v>0</v>
      </c>
      <c r="AO36" s="35">
        <f t="shared" si="84"/>
        <v>0</v>
      </c>
      <c r="AP36" s="35">
        <f t="shared" si="84"/>
        <v>0</v>
      </c>
      <c r="AQ36" s="35">
        <f t="shared" si="84"/>
        <v>0</v>
      </c>
      <c r="AR36" s="35">
        <f t="shared" si="84"/>
        <v>0</v>
      </c>
      <c r="AS36" s="35">
        <f t="shared" si="84"/>
        <v>0</v>
      </c>
      <c r="AT36" s="35">
        <f t="shared" ref="AT36:AY36" si="87">SUM(AT37:AT44)</f>
        <v>0</v>
      </c>
      <c r="AU36" s="117">
        <f t="shared" si="87"/>
        <v>0</v>
      </c>
      <c r="AV36" s="35">
        <f t="shared" si="87"/>
        <v>0</v>
      </c>
      <c r="AW36" s="35">
        <f t="shared" si="87"/>
        <v>0</v>
      </c>
      <c r="AX36" s="35">
        <f t="shared" si="87"/>
        <v>0</v>
      </c>
      <c r="AY36" s="35">
        <f t="shared" si="87"/>
        <v>0</v>
      </c>
      <c r="AZ36" s="35">
        <f t="shared" si="84"/>
        <v>0</v>
      </c>
      <c r="BA36" s="35">
        <f t="shared" si="84"/>
        <v>0</v>
      </c>
      <c r="BB36" s="35">
        <f t="shared" si="84"/>
        <v>104497</v>
      </c>
    </row>
    <row r="37" spans="1:54" s="44" customFormat="1" hidden="1" x14ac:dyDescent="0.25">
      <c r="A37" s="132"/>
      <c r="B37" s="135"/>
      <c r="C37" s="41">
        <v>906</v>
      </c>
      <c r="D37" s="42">
        <v>99414</v>
      </c>
      <c r="E37" s="42"/>
      <c r="F37" s="42">
        <f>271+2417+30+91</f>
        <v>2809</v>
      </c>
      <c r="G37" s="42"/>
      <c r="H37" s="42"/>
      <c r="I37" s="42"/>
      <c r="J37" s="42">
        <v>18223</v>
      </c>
      <c r="K37" s="42">
        <v>2378</v>
      </c>
      <c r="L37" s="42">
        <f>1161+1988</f>
        <v>3149</v>
      </c>
      <c r="M37" s="42"/>
      <c r="N37" s="42">
        <f>-559+592</f>
        <v>33</v>
      </c>
      <c r="O37" s="42"/>
      <c r="P37" s="42"/>
      <c r="Q37" s="42">
        <f>-2871-1981-283-138</f>
        <v>-5273</v>
      </c>
      <c r="R37" s="118"/>
      <c r="S37" s="42"/>
      <c r="T37" s="42"/>
      <c r="U37" s="42"/>
      <c r="V37" s="42">
        <f t="shared" ref="V37:V44" si="88">SUM(D37:U37)</f>
        <v>120733</v>
      </c>
      <c r="W37" s="42">
        <v>100660</v>
      </c>
      <c r="X37" s="42"/>
      <c r="Y37" s="42"/>
      <c r="Z37" s="42"/>
      <c r="AA37" s="42">
        <v>10877</v>
      </c>
      <c r="AB37" s="42">
        <v>600</v>
      </c>
      <c r="AC37" s="42"/>
      <c r="AD37" s="42"/>
      <c r="AE37" s="42"/>
      <c r="AF37" s="118">
        <v>204</v>
      </c>
      <c r="AG37" s="42"/>
      <c r="AH37" s="42"/>
      <c r="AI37" s="42"/>
      <c r="AJ37" s="42"/>
      <c r="AK37" s="42"/>
      <c r="AL37" s="42">
        <f t="shared" ref="AL37:AL44" si="89">SUM(W37:AK37)</f>
        <v>112341</v>
      </c>
      <c r="AM37" s="42">
        <v>100259</v>
      </c>
      <c r="AN37" s="42"/>
      <c r="AO37" s="42"/>
      <c r="AP37" s="42"/>
      <c r="AQ37" s="42"/>
      <c r="AR37" s="42"/>
      <c r="AS37" s="42"/>
      <c r="AT37" s="42"/>
      <c r="AU37" s="118"/>
      <c r="AV37" s="42"/>
      <c r="AW37" s="42"/>
      <c r="AX37" s="42"/>
      <c r="AY37" s="42"/>
      <c r="AZ37" s="42"/>
      <c r="BA37" s="42"/>
      <c r="BB37" s="42">
        <f t="shared" ref="BB37:BB44" si="90">SUM(AM37:BA37)</f>
        <v>100259</v>
      </c>
    </row>
    <row r="38" spans="1:54" s="44" customFormat="1" hidden="1" x14ac:dyDescent="0.25">
      <c r="A38" s="133"/>
      <c r="B38" s="136"/>
      <c r="C38" s="41">
        <v>909</v>
      </c>
      <c r="D38" s="42"/>
      <c r="E38" s="42"/>
      <c r="F38" s="42"/>
      <c r="G38" s="42"/>
      <c r="H38" s="42"/>
      <c r="I38" s="42"/>
      <c r="J38" s="42">
        <v>1953</v>
      </c>
      <c r="K38" s="42"/>
      <c r="L38" s="42"/>
      <c r="M38" s="42"/>
      <c r="N38" s="42">
        <f>-153-153</f>
        <v>-306</v>
      </c>
      <c r="O38" s="42"/>
      <c r="P38" s="42"/>
      <c r="Q38" s="42"/>
      <c r="R38" s="118"/>
      <c r="S38" s="42"/>
      <c r="T38" s="42"/>
      <c r="U38" s="42"/>
      <c r="V38" s="42">
        <f t="shared" ref="V38" si="91">SUM(D38:U38)</f>
        <v>1647</v>
      </c>
      <c r="W38" s="42"/>
      <c r="X38" s="42"/>
      <c r="Y38" s="42"/>
      <c r="Z38" s="42"/>
      <c r="AA38" s="42"/>
      <c r="AB38" s="42"/>
      <c r="AC38" s="42"/>
      <c r="AD38" s="42"/>
      <c r="AE38" s="42"/>
      <c r="AF38" s="118"/>
      <c r="AG38" s="42"/>
      <c r="AH38" s="42"/>
      <c r="AI38" s="42"/>
      <c r="AJ38" s="42"/>
      <c r="AK38" s="42"/>
      <c r="AL38" s="42">
        <f t="shared" ref="AL38" si="92">SUM(W38:AK38)</f>
        <v>0</v>
      </c>
      <c r="AM38" s="42"/>
      <c r="AN38" s="42"/>
      <c r="AO38" s="42"/>
      <c r="AP38" s="42"/>
      <c r="AQ38" s="42"/>
      <c r="AR38" s="42"/>
      <c r="AS38" s="42"/>
      <c r="AT38" s="42"/>
      <c r="AU38" s="118"/>
      <c r="AV38" s="42"/>
      <c r="AW38" s="42"/>
      <c r="AX38" s="42"/>
      <c r="AY38" s="42"/>
      <c r="AZ38" s="42"/>
      <c r="BA38" s="42"/>
      <c r="BB38" s="42">
        <f t="shared" ref="BB38" si="93">SUM(AM38:BA38)</f>
        <v>0</v>
      </c>
    </row>
    <row r="39" spans="1:54" s="44" customFormat="1" hidden="1" x14ac:dyDescent="0.25">
      <c r="A39" s="133"/>
      <c r="B39" s="136"/>
      <c r="C39" s="41">
        <v>912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118"/>
      <c r="S39" s="42"/>
      <c r="T39" s="42"/>
      <c r="U39" s="42"/>
      <c r="V39" s="42">
        <f t="shared" si="88"/>
        <v>0</v>
      </c>
      <c r="W39" s="42"/>
      <c r="X39" s="42"/>
      <c r="Y39" s="42"/>
      <c r="Z39" s="42"/>
      <c r="AA39" s="42"/>
      <c r="AB39" s="42"/>
      <c r="AC39" s="42"/>
      <c r="AD39" s="42"/>
      <c r="AE39" s="42"/>
      <c r="AF39" s="118"/>
      <c r="AG39" s="42"/>
      <c r="AH39" s="42"/>
      <c r="AI39" s="42"/>
      <c r="AJ39" s="42"/>
      <c r="AK39" s="42"/>
      <c r="AL39" s="42">
        <f t="shared" si="89"/>
        <v>0</v>
      </c>
      <c r="AM39" s="42"/>
      <c r="AN39" s="42"/>
      <c r="AO39" s="42"/>
      <c r="AP39" s="42"/>
      <c r="AQ39" s="42"/>
      <c r="AR39" s="42"/>
      <c r="AS39" s="42"/>
      <c r="AT39" s="42"/>
      <c r="AU39" s="118"/>
      <c r="AV39" s="42"/>
      <c r="AW39" s="42"/>
      <c r="AX39" s="42"/>
      <c r="AY39" s="42"/>
      <c r="AZ39" s="42"/>
      <c r="BA39" s="42"/>
      <c r="BB39" s="42">
        <f t="shared" si="90"/>
        <v>0</v>
      </c>
    </row>
    <row r="40" spans="1:54" s="44" customFormat="1" hidden="1" x14ac:dyDescent="0.25">
      <c r="A40" s="133"/>
      <c r="B40" s="136"/>
      <c r="C40" s="41">
        <v>914</v>
      </c>
      <c r="D40" s="42"/>
      <c r="E40" s="42"/>
      <c r="F40" s="42"/>
      <c r="G40" s="42"/>
      <c r="H40" s="42"/>
      <c r="I40" s="42"/>
      <c r="J40" s="42">
        <v>283</v>
      </c>
      <c r="K40" s="42"/>
      <c r="L40" s="42"/>
      <c r="M40" s="42"/>
      <c r="N40" s="42"/>
      <c r="O40" s="42"/>
      <c r="P40" s="42"/>
      <c r="Q40" s="42"/>
      <c r="R40" s="118"/>
      <c r="S40" s="42"/>
      <c r="T40" s="42"/>
      <c r="U40" s="42"/>
      <c r="V40" s="42">
        <f t="shared" ref="V40" si="94">SUM(D40:U40)</f>
        <v>283</v>
      </c>
      <c r="W40" s="42"/>
      <c r="X40" s="42"/>
      <c r="Y40" s="42"/>
      <c r="Z40" s="42"/>
      <c r="AA40" s="42">
        <v>65</v>
      </c>
      <c r="AB40" s="42"/>
      <c r="AC40" s="42"/>
      <c r="AD40" s="42"/>
      <c r="AE40" s="42"/>
      <c r="AF40" s="118"/>
      <c r="AG40" s="42"/>
      <c r="AH40" s="42"/>
      <c r="AI40" s="42"/>
      <c r="AJ40" s="42"/>
      <c r="AK40" s="42"/>
      <c r="AL40" s="42">
        <f t="shared" ref="AL40" si="95">SUM(W40:AK40)</f>
        <v>65</v>
      </c>
      <c r="AM40" s="42"/>
      <c r="AN40" s="42"/>
      <c r="AO40" s="42"/>
      <c r="AP40" s="42"/>
      <c r="AQ40" s="42"/>
      <c r="AR40" s="42"/>
      <c r="AS40" s="42"/>
      <c r="AT40" s="42"/>
      <c r="AU40" s="118"/>
      <c r="AV40" s="42"/>
      <c r="AW40" s="42"/>
      <c r="AX40" s="42"/>
      <c r="AY40" s="42"/>
      <c r="AZ40" s="42"/>
      <c r="BA40" s="42"/>
      <c r="BB40" s="42">
        <f t="shared" ref="BB40" si="96">SUM(AM40:BA40)</f>
        <v>0</v>
      </c>
    </row>
    <row r="41" spans="1:54" s="44" customFormat="1" hidden="1" x14ac:dyDescent="0.25">
      <c r="A41" s="133"/>
      <c r="B41" s="136"/>
      <c r="C41" s="41">
        <v>917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118"/>
      <c r="S41" s="42"/>
      <c r="T41" s="42"/>
      <c r="U41" s="42"/>
      <c r="V41" s="42">
        <f t="shared" si="88"/>
        <v>0</v>
      </c>
      <c r="W41" s="42"/>
      <c r="X41" s="42"/>
      <c r="Y41" s="42"/>
      <c r="Z41" s="42"/>
      <c r="AA41" s="42"/>
      <c r="AB41" s="42"/>
      <c r="AC41" s="42"/>
      <c r="AD41" s="42"/>
      <c r="AE41" s="42"/>
      <c r="AF41" s="118"/>
      <c r="AG41" s="42"/>
      <c r="AH41" s="42"/>
      <c r="AI41" s="42"/>
      <c r="AJ41" s="42"/>
      <c r="AK41" s="42"/>
      <c r="AL41" s="42">
        <f t="shared" si="89"/>
        <v>0</v>
      </c>
      <c r="AM41" s="42"/>
      <c r="AN41" s="42"/>
      <c r="AO41" s="42"/>
      <c r="AP41" s="42"/>
      <c r="AQ41" s="42"/>
      <c r="AR41" s="42"/>
      <c r="AS41" s="42"/>
      <c r="AT41" s="42"/>
      <c r="AU41" s="118"/>
      <c r="AV41" s="42"/>
      <c r="AW41" s="42"/>
      <c r="AX41" s="42"/>
      <c r="AY41" s="42"/>
      <c r="AZ41" s="42"/>
      <c r="BA41" s="42"/>
      <c r="BB41" s="42">
        <f t="shared" si="90"/>
        <v>0</v>
      </c>
    </row>
    <row r="42" spans="1:54" s="44" customFormat="1" hidden="1" x14ac:dyDescent="0.25">
      <c r="A42" s="133"/>
      <c r="B42" s="136"/>
      <c r="C42" s="41">
        <v>920</v>
      </c>
      <c r="D42" s="42">
        <v>3670</v>
      </c>
      <c r="E42" s="42"/>
      <c r="F42" s="42">
        <f>46</f>
        <v>46</v>
      </c>
      <c r="G42" s="42"/>
      <c r="H42" s="42"/>
      <c r="I42" s="42"/>
      <c r="J42" s="42"/>
      <c r="K42" s="42">
        <v>7700</v>
      </c>
      <c r="L42" s="42"/>
      <c r="M42" s="42"/>
      <c r="N42" s="42"/>
      <c r="O42" s="42"/>
      <c r="P42" s="42"/>
      <c r="Q42" s="42">
        <f>-73-73</f>
        <v>-146</v>
      </c>
      <c r="R42" s="118"/>
      <c r="S42" s="42"/>
      <c r="T42" s="42"/>
      <c r="U42" s="42"/>
      <c r="V42" s="42">
        <f t="shared" si="88"/>
        <v>11270</v>
      </c>
      <c r="W42" s="42">
        <v>3670</v>
      </c>
      <c r="X42" s="42"/>
      <c r="Y42" s="42"/>
      <c r="Z42" s="42"/>
      <c r="AA42" s="42"/>
      <c r="AB42" s="42"/>
      <c r="AC42" s="42"/>
      <c r="AD42" s="42"/>
      <c r="AE42" s="42"/>
      <c r="AF42" s="118"/>
      <c r="AG42" s="42"/>
      <c r="AH42" s="42"/>
      <c r="AI42" s="42"/>
      <c r="AJ42" s="42"/>
      <c r="AK42" s="42"/>
      <c r="AL42" s="42">
        <f t="shared" si="89"/>
        <v>3670</v>
      </c>
      <c r="AM42" s="42">
        <v>3670</v>
      </c>
      <c r="AN42" s="42"/>
      <c r="AO42" s="42"/>
      <c r="AP42" s="42"/>
      <c r="AQ42" s="42"/>
      <c r="AR42" s="42"/>
      <c r="AS42" s="42"/>
      <c r="AT42" s="42"/>
      <c r="AU42" s="118"/>
      <c r="AV42" s="42"/>
      <c r="AW42" s="42"/>
      <c r="AX42" s="42"/>
      <c r="AY42" s="42"/>
      <c r="AZ42" s="42"/>
      <c r="BA42" s="42"/>
      <c r="BB42" s="42">
        <f t="shared" si="90"/>
        <v>3670</v>
      </c>
    </row>
    <row r="43" spans="1:54" s="44" customFormat="1" hidden="1" x14ac:dyDescent="0.25">
      <c r="A43" s="133"/>
      <c r="B43" s="136"/>
      <c r="C43" s="41">
        <v>921</v>
      </c>
      <c r="D43" s="42"/>
      <c r="E43" s="42"/>
      <c r="F43" s="42"/>
      <c r="G43" s="42"/>
      <c r="H43" s="42"/>
      <c r="I43" s="42"/>
      <c r="J43" s="42">
        <v>2458</v>
      </c>
      <c r="K43" s="42"/>
      <c r="L43" s="42"/>
      <c r="M43" s="42"/>
      <c r="N43" s="42">
        <f>-2-2-16-16</f>
        <v>-36</v>
      </c>
      <c r="O43" s="42"/>
      <c r="P43" s="42"/>
      <c r="Q43" s="42"/>
      <c r="R43" s="118"/>
      <c r="S43" s="42"/>
      <c r="T43" s="42"/>
      <c r="U43" s="42"/>
      <c r="V43" s="42">
        <f t="shared" ref="V43" si="97">SUM(D43:U43)</f>
        <v>2422</v>
      </c>
      <c r="W43" s="42"/>
      <c r="X43" s="42"/>
      <c r="Y43" s="42"/>
      <c r="Z43" s="42"/>
      <c r="AA43" s="42">
        <v>200</v>
      </c>
      <c r="AB43" s="42"/>
      <c r="AC43" s="42"/>
      <c r="AD43" s="42"/>
      <c r="AE43" s="42"/>
      <c r="AF43" s="118"/>
      <c r="AG43" s="42"/>
      <c r="AH43" s="42"/>
      <c r="AI43" s="42"/>
      <c r="AJ43" s="42"/>
      <c r="AK43" s="42"/>
      <c r="AL43" s="42">
        <f t="shared" ref="AL43" si="98">SUM(W43:AK43)</f>
        <v>200</v>
      </c>
      <c r="AM43" s="42"/>
      <c r="AN43" s="42"/>
      <c r="AO43" s="42"/>
      <c r="AP43" s="42"/>
      <c r="AQ43" s="42"/>
      <c r="AR43" s="42"/>
      <c r="AS43" s="42"/>
      <c r="AT43" s="42"/>
      <c r="AU43" s="118"/>
      <c r="AV43" s="42"/>
      <c r="AW43" s="42"/>
      <c r="AX43" s="42"/>
      <c r="AY43" s="42"/>
      <c r="AZ43" s="42"/>
      <c r="BA43" s="42"/>
      <c r="BB43" s="42">
        <f t="shared" ref="BB43" si="99">SUM(AM43:BA43)</f>
        <v>0</v>
      </c>
    </row>
    <row r="44" spans="1:54" s="44" customFormat="1" hidden="1" x14ac:dyDescent="0.25">
      <c r="A44" s="134"/>
      <c r="B44" s="137"/>
      <c r="C44" s="41">
        <v>923</v>
      </c>
      <c r="D44" s="42">
        <v>568</v>
      </c>
      <c r="E44" s="42"/>
      <c r="F44" s="42"/>
      <c r="G44" s="42"/>
      <c r="H44" s="42"/>
      <c r="I44" s="42"/>
      <c r="J44" s="42"/>
      <c r="K44" s="42"/>
      <c r="L44" s="42"/>
      <c r="M44" s="42"/>
      <c r="N44" s="42">
        <v>-7</v>
      </c>
      <c r="O44" s="42"/>
      <c r="P44" s="42"/>
      <c r="Q44" s="42"/>
      <c r="R44" s="118"/>
      <c r="S44" s="42"/>
      <c r="T44" s="42"/>
      <c r="U44" s="42"/>
      <c r="V44" s="42">
        <f t="shared" si="88"/>
        <v>561</v>
      </c>
      <c r="W44" s="42">
        <v>568</v>
      </c>
      <c r="X44" s="42"/>
      <c r="Y44" s="42"/>
      <c r="Z44" s="42"/>
      <c r="AA44" s="42"/>
      <c r="AB44" s="42"/>
      <c r="AC44" s="42"/>
      <c r="AD44" s="42"/>
      <c r="AE44" s="42"/>
      <c r="AF44" s="118"/>
      <c r="AG44" s="42"/>
      <c r="AH44" s="42"/>
      <c r="AI44" s="42"/>
      <c r="AJ44" s="42"/>
      <c r="AK44" s="42"/>
      <c r="AL44" s="42">
        <f t="shared" si="89"/>
        <v>568</v>
      </c>
      <c r="AM44" s="42">
        <v>568</v>
      </c>
      <c r="AN44" s="42"/>
      <c r="AO44" s="42"/>
      <c r="AP44" s="42"/>
      <c r="AQ44" s="42"/>
      <c r="AR44" s="42"/>
      <c r="AS44" s="42"/>
      <c r="AT44" s="42"/>
      <c r="AU44" s="118"/>
      <c r="AV44" s="42"/>
      <c r="AW44" s="42"/>
      <c r="AX44" s="42"/>
      <c r="AY44" s="42"/>
      <c r="AZ44" s="42"/>
      <c r="BA44" s="42"/>
      <c r="BB44" s="42">
        <f t="shared" si="90"/>
        <v>568</v>
      </c>
    </row>
    <row r="45" spans="1:54" s="19" customFormat="1" ht="35.25" customHeight="1" x14ac:dyDescent="0.25">
      <c r="A45" s="78" t="s">
        <v>13</v>
      </c>
      <c r="B45" s="33" t="s">
        <v>41</v>
      </c>
      <c r="C45" s="94" t="s">
        <v>103</v>
      </c>
      <c r="D45" s="13">
        <f>SUM(D46:D47)</f>
        <v>14212</v>
      </c>
      <c r="E45" s="13">
        <f t="shared" ref="E45:BB45" si="100">SUM(E46:E47)</f>
        <v>978</v>
      </c>
      <c r="F45" s="13">
        <f t="shared" si="100"/>
        <v>703</v>
      </c>
      <c r="G45" s="13">
        <f t="shared" si="100"/>
        <v>0</v>
      </c>
      <c r="H45" s="13">
        <f t="shared" si="100"/>
        <v>0</v>
      </c>
      <c r="I45" s="13">
        <f t="shared" si="100"/>
        <v>0</v>
      </c>
      <c r="J45" s="13">
        <f t="shared" si="100"/>
        <v>5300</v>
      </c>
      <c r="K45" s="13">
        <f t="shared" si="100"/>
        <v>0</v>
      </c>
      <c r="L45" s="13">
        <f t="shared" si="100"/>
        <v>0</v>
      </c>
      <c r="M45" s="13">
        <f t="shared" ref="M45:T45" si="101">SUM(M46:M47)</f>
        <v>0</v>
      </c>
      <c r="N45" s="13">
        <f t="shared" si="101"/>
        <v>-85</v>
      </c>
      <c r="O45" s="13">
        <f t="shared" ref="O45:P45" si="102">SUM(O46:O47)</f>
        <v>0</v>
      </c>
      <c r="P45" s="13">
        <f t="shared" si="102"/>
        <v>0</v>
      </c>
      <c r="Q45" s="13">
        <f t="shared" si="101"/>
        <v>0</v>
      </c>
      <c r="R45" s="115">
        <f t="shared" si="101"/>
        <v>0</v>
      </c>
      <c r="S45" s="13">
        <f t="shared" si="101"/>
        <v>0</v>
      </c>
      <c r="T45" s="13">
        <f t="shared" si="101"/>
        <v>0</v>
      </c>
      <c r="U45" s="13">
        <f t="shared" si="100"/>
        <v>0</v>
      </c>
      <c r="V45" s="13">
        <f t="shared" si="100"/>
        <v>21108</v>
      </c>
      <c r="W45" s="13">
        <f t="shared" si="100"/>
        <v>23401</v>
      </c>
      <c r="X45" s="13">
        <f t="shared" si="100"/>
        <v>978</v>
      </c>
      <c r="Y45" s="13">
        <f t="shared" si="100"/>
        <v>0</v>
      </c>
      <c r="Z45" s="13">
        <f t="shared" si="100"/>
        <v>0</v>
      </c>
      <c r="AA45" s="13">
        <f t="shared" si="100"/>
        <v>0</v>
      </c>
      <c r="AB45" s="13">
        <f t="shared" si="100"/>
        <v>0</v>
      </c>
      <c r="AC45" s="13">
        <f t="shared" si="100"/>
        <v>0</v>
      </c>
      <c r="AD45" s="13">
        <f t="shared" ref="AD45:AI45" si="103">SUM(AD46:AD47)</f>
        <v>0</v>
      </c>
      <c r="AE45" s="13">
        <f t="shared" ref="AE45" si="104">SUM(AE46:AE47)</f>
        <v>0</v>
      </c>
      <c r="AF45" s="115">
        <f t="shared" si="103"/>
        <v>0</v>
      </c>
      <c r="AG45" s="13">
        <f t="shared" si="103"/>
        <v>0</v>
      </c>
      <c r="AH45" s="13">
        <f t="shared" si="103"/>
        <v>0</v>
      </c>
      <c r="AI45" s="13">
        <f t="shared" si="103"/>
        <v>0</v>
      </c>
      <c r="AJ45" s="13">
        <f t="shared" si="100"/>
        <v>0</v>
      </c>
      <c r="AK45" s="13">
        <f t="shared" si="100"/>
        <v>0</v>
      </c>
      <c r="AL45" s="13">
        <f t="shared" si="100"/>
        <v>24379</v>
      </c>
      <c r="AM45" s="13">
        <f t="shared" si="100"/>
        <v>23112</v>
      </c>
      <c r="AN45" s="13">
        <f t="shared" si="100"/>
        <v>978</v>
      </c>
      <c r="AO45" s="13">
        <f t="shared" si="100"/>
        <v>0</v>
      </c>
      <c r="AP45" s="13">
        <f t="shared" si="100"/>
        <v>0</v>
      </c>
      <c r="AQ45" s="13">
        <f t="shared" si="100"/>
        <v>0</v>
      </c>
      <c r="AR45" s="13">
        <f t="shared" si="100"/>
        <v>0</v>
      </c>
      <c r="AS45" s="13">
        <f t="shared" si="100"/>
        <v>0</v>
      </c>
      <c r="AT45" s="13">
        <f t="shared" ref="AT45:AY45" si="105">SUM(AT46:AT47)</f>
        <v>0</v>
      </c>
      <c r="AU45" s="115">
        <f t="shared" si="105"/>
        <v>0</v>
      </c>
      <c r="AV45" s="13">
        <f t="shared" si="105"/>
        <v>0</v>
      </c>
      <c r="AW45" s="13">
        <f t="shared" si="105"/>
        <v>0</v>
      </c>
      <c r="AX45" s="13">
        <f t="shared" si="105"/>
        <v>0</v>
      </c>
      <c r="AY45" s="13">
        <f t="shared" si="105"/>
        <v>0</v>
      </c>
      <c r="AZ45" s="13">
        <f t="shared" si="100"/>
        <v>0</v>
      </c>
      <c r="BA45" s="13">
        <f t="shared" si="100"/>
        <v>0</v>
      </c>
      <c r="BB45" s="13">
        <f t="shared" si="100"/>
        <v>24090</v>
      </c>
    </row>
    <row r="46" spans="1:54" s="53" customFormat="1" ht="15.75" hidden="1" x14ac:dyDescent="0.25">
      <c r="A46" s="80"/>
      <c r="B46" s="52"/>
      <c r="C46" s="41">
        <v>903</v>
      </c>
      <c r="D46" s="42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119"/>
      <c r="S46" s="45"/>
      <c r="T46" s="45"/>
      <c r="U46" s="45"/>
      <c r="V46" s="42">
        <f t="shared" ref="V46:V50" si="106">SUM(D46:U46)</f>
        <v>0</v>
      </c>
      <c r="W46" s="42"/>
      <c r="X46" s="45"/>
      <c r="Y46" s="45"/>
      <c r="Z46" s="45"/>
      <c r="AA46" s="45"/>
      <c r="AB46" s="45"/>
      <c r="AC46" s="45"/>
      <c r="AD46" s="45"/>
      <c r="AE46" s="45"/>
      <c r="AF46" s="119"/>
      <c r="AG46" s="45"/>
      <c r="AH46" s="45"/>
      <c r="AI46" s="45"/>
      <c r="AJ46" s="45"/>
      <c r="AK46" s="45"/>
      <c r="AL46" s="42">
        <f t="shared" ref="AL46:AL47" si="107">SUM(W46:AK46)</f>
        <v>0</v>
      </c>
      <c r="AM46" s="42"/>
      <c r="AN46" s="45"/>
      <c r="AO46" s="45"/>
      <c r="AP46" s="45"/>
      <c r="AQ46" s="45"/>
      <c r="AR46" s="45"/>
      <c r="AS46" s="45"/>
      <c r="AT46" s="45"/>
      <c r="AU46" s="119"/>
      <c r="AV46" s="45"/>
      <c r="AW46" s="45"/>
      <c r="AX46" s="45"/>
      <c r="AY46" s="45"/>
      <c r="AZ46" s="45"/>
      <c r="BA46" s="45"/>
      <c r="BB46" s="42">
        <f>SUM(AM46:BA46)</f>
        <v>0</v>
      </c>
    </row>
    <row r="47" spans="1:54" s="53" customFormat="1" ht="15.75" hidden="1" x14ac:dyDescent="0.25">
      <c r="A47" s="80"/>
      <c r="B47" s="52"/>
      <c r="C47" s="41">
        <v>914</v>
      </c>
      <c r="D47" s="42">
        <v>14212</v>
      </c>
      <c r="E47" s="45">
        <v>978</v>
      </c>
      <c r="F47" s="45">
        <f>703</f>
        <v>703</v>
      </c>
      <c r="G47" s="45"/>
      <c r="H47" s="45"/>
      <c r="I47" s="45"/>
      <c r="J47" s="45">
        <v>5300</v>
      </c>
      <c r="K47" s="45">
        <v>0</v>
      </c>
      <c r="L47" s="45"/>
      <c r="M47" s="45"/>
      <c r="N47" s="45">
        <f>-85</f>
        <v>-85</v>
      </c>
      <c r="O47" s="45"/>
      <c r="P47" s="45"/>
      <c r="Q47" s="45"/>
      <c r="R47" s="119"/>
      <c r="S47" s="45"/>
      <c r="T47" s="45"/>
      <c r="U47" s="45"/>
      <c r="V47" s="42">
        <f t="shared" si="106"/>
        <v>21108</v>
      </c>
      <c r="W47" s="42">
        <v>23401</v>
      </c>
      <c r="X47" s="45">
        <v>978</v>
      </c>
      <c r="Y47" s="45"/>
      <c r="Z47" s="45"/>
      <c r="AA47" s="45"/>
      <c r="AB47" s="45"/>
      <c r="AC47" s="45"/>
      <c r="AD47" s="45"/>
      <c r="AE47" s="45"/>
      <c r="AF47" s="119"/>
      <c r="AG47" s="45"/>
      <c r="AH47" s="45"/>
      <c r="AI47" s="45"/>
      <c r="AJ47" s="45"/>
      <c r="AK47" s="45"/>
      <c r="AL47" s="42">
        <f t="shared" si="107"/>
        <v>24379</v>
      </c>
      <c r="AM47" s="42">
        <v>23112</v>
      </c>
      <c r="AN47" s="45">
        <v>978</v>
      </c>
      <c r="AO47" s="45"/>
      <c r="AP47" s="45"/>
      <c r="AQ47" s="45"/>
      <c r="AR47" s="45"/>
      <c r="AS47" s="45"/>
      <c r="AT47" s="45"/>
      <c r="AU47" s="119"/>
      <c r="AV47" s="45"/>
      <c r="AW47" s="45"/>
      <c r="AX47" s="45"/>
      <c r="AY47" s="45"/>
      <c r="AZ47" s="45"/>
      <c r="BA47" s="45"/>
      <c r="BB47" s="42">
        <f>SUM(AM47:BA47)</f>
        <v>24090</v>
      </c>
    </row>
    <row r="48" spans="1:54" s="19" customFormat="1" ht="31.5" x14ac:dyDescent="0.25">
      <c r="A48" s="78" t="s">
        <v>14</v>
      </c>
      <c r="B48" s="33" t="s">
        <v>42</v>
      </c>
      <c r="C48" s="34" t="s">
        <v>84</v>
      </c>
      <c r="D48" s="35">
        <f>SUM(D49:D51)</f>
        <v>252782</v>
      </c>
      <c r="E48" s="35">
        <f t="shared" ref="E48:BB48" si="108">SUM(E49:E51)</f>
        <v>4499</v>
      </c>
      <c r="F48" s="35">
        <f t="shared" si="108"/>
        <v>5866</v>
      </c>
      <c r="G48" s="35">
        <f t="shared" si="108"/>
        <v>0</v>
      </c>
      <c r="H48" s="35">
        <f t="shared" si="108"/>
        <v>172</v>
      </c>
      <c r="I48" s="35">
        <f t="shared" si="108"/>
        <v>0</v>
      </c>
      <c r="J48" s="35">
        <f t="shared" si="108"/>
        <v>800</v>
      </c>
      <c r="K48" s="35">
        <f t="shared" si="108"/>
        <v>10692</v>
      </c>
      <c r="L48" s="35">
        <f t="shared" si="108"/>
        <v>0</v>
      </c>
      <c r="M48" s="35">
        <f t="shared" ref="M48:T48" si="109">SUM(M49:M51)</f>
        <v>0</v>
      </c>
      <c r="N48" s="35">
        <f t="shared" si="109"/>
        <v>181</v>
      </c>
      <c r="O48" s="35">
        <f t="shared" ref="O48:P48" si="110">SUM(O49:O51)</f>
        <v>0</v>
      </c>
      <c r="P48" s="35">
        <f t="shared" si="110"/>
        <v>0</v>
      </c>
      <c r="Q48" s="35">
        <f t="shared" si="109"/>
        <v>-796</v>
      </c>
      <c r="R48" s="117">
        <f t="shared" si="109"/>
        <v>0</v>
      </c>
      <c r="S48" s="35">
        <f t="shared" si="109"/>
        <v>0</v>
      </c>
      <c r="T48" s="35">
        <f t="shared" si="109"/>
        <v>0</v>
      </c>
      <c r="U48" s="35">
        <f t="shared" si="108"/>
        <v>0</v>
      </c>
      <c r="V48" s="35">
        <f t="shared" si="108"/>
        <v>274196</v>
      </c>
      <c r="W48" s="35">
        <f t="shared" si="108"/>
        <v>235813</v>
      </c>
      <c r="X48" s="35">
        <f t="shared" si="108"/>
        <v>3609</v>
      </c>
      <c r="Y48" s="35">
        <f t="shared" si="108"/>
        <v>0</v>
      </c>
      <c r="Z48" s="35">
        <f t="shared" si="108"/>
        <v>1</v>
      </c>
      <c r="AA48" s="35">
        <f t="shared" si="108"/>
        <v>171</v>
      </c>
      <c r="AB48" s="35">
        <f t="shared" si="108"/>
        <v>0</v>
      </c>
      <c r="AC48" s="35">
        <f t="shared" si="108"/>
        <v>0</v>
      </c>
      <c r="AD48" s="35">
        <f t="shared" ref="AD48:AI48" si="111">SUM(AD49:AD51)</f>
        <v>79</v>
      </c>
      <c r="AE48" s="35">
        <f t="shared" ref="AE48" si="112">SUM(AE49:AE51)</f>
        <v>0</v>
      </c>
      <c r="AF48" s="117">
        <f t="shared" si="111"/>
        <v>0</v>
      </c>
      <c r="AG48" s="35">
        <f t="shared" si="111"/>
        <v>0</v>
      </c>
      <c r="AH48" s="35">
        <f t="shared" si="111"/>
        <v>0</v>
      </c>
      <c r="AI48" s="35">
        <f t="shared" si="111"/>
        <v>0</v>
      </c>
      <c r="AJ48" s="35">
        <f t="shared" si="108"/>
        <v>0</v>
      </c>
      <c r="AK48" s="35">
        <f t="shared" si="108"/>
        <v>0</v>
      </c>
      <c r="AL48" s="35">
        <f t="shared" si="108"/>
        <v>239673</v>
      </c>
      <c r="AM48" s="35">
        <f t="shared" si="108"/>
        <v>235813</v>
      </c>
      <c r="AN48" s="35">
        <f t="shared" si="108"/>
        <v>3609</v>
      </c>
      <c r="AO48" s="35">
        <f t="shared" si="108"/>
        <v>0</v>
      </c>
      <c r="AP48" s="35">
        <f t="shared" si="108"/>
        <v>1</v>
      </c>
      <c r="AQ48" s="35">
        <f t="shared" si="108"/>
        <v>171</v>
      </c>
      <c r="AR48" s="35">
        <f t="shared" si="108"/>
        <v>0</v>
      </c>
      <c r="AS48" s="35">
        <f t="shared" si="108"/>
        <v>0</v>
      </c>
      <c r="AT48" s="35">
        <f t="shared" ref="AT48:AY48" si="113">SUM(AT49:AT51)</f>
        <v>162</v>
      </c>
      <c r="AU48" s="117">
        <f t="shared" si="113"/>
        <v>0</v>
      </c>
      <c r="AV48" s="35">
        <f t="shared" si="113"/>
        <v>0</v>
      </c>
      <c r="AW48" s="35">
        <f t="shared" si="113"/>
        <v>0</v>
      </c>
      <c r="AX48" s="35">
        <f t="shared" si="113"/>
        <v>0</v>
      </c>
      <c r="AY48" s="35">
        <f t="shared" si="113"/>
        <v>0</v>
      </c>
      <c r="AZ48" s="35">
        <f t="shared" si="108"/>
        <v>0</v>
      </c>
      <c r="BA48" s="35">
        <f t="shared" si="108"/>
        <v>0</v>
      </c>
      <c r="BB48" s="35">
        <f t="shared" si="108"/>
        <v>239756</v>
      </c>
    </row>
    <row r="49" spans="1:54" s="44" customFormat="1" hidden="1" x14ac:dyDescent="0.25">
      <c r="A49" s="132"/>
      <c r="B49" s="135"/>
      <c r="C49" s="41">
        <v>910</v>
      </c>
      <c r="D49" s="42">
        <v>2022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118"/>
      <c r="S49" s="42"/>
      <c r="T49" s="42"/>
      <c r="U49" s="42"/>
      <c r="V49" s="42">
        <f t="shared" si="106"/>
        <v>2022</v>
      </c>
      <c r="W49" s="42">
        <v>2022</v>
      </c>
      <c r="X49" s="42"/>
      <c r="Y49" s="42"/>
      <c r="Z49" s="42"/>
      <c r="AA49" s="42"/>
      <c r="AB49" s="42"/>
      <c r="AC49" s="42"/>
      <c r="AD49" s="42">
        <v>79</v>
      </c>
      <c r="AE49" s="42"/>
      <c r="AF49" s="118"/>
      <c r="AG49" s="42"/>
      <c r="AH49" s="42"/>
      <c r="AI49" s="42"/>
      <c r="AJ49" s="42"/>
      <c r="AK49" s="42"/>
      <c r="AL49" s="42">
        <f t="shared" ref="AL49:AL58" si="114">SUM(W49:AK49)</f>
        <v>2101</v>
      </c>
      <c r="AM49" s="42">
        <v>2022</v>
      </c>
      <c r="AN49" s="42"/>
      <c r="AO49" s="42"/>
      <c r="AP49" s="42"/>
      <c r="AQ49" s="42"/>
      <c r="AR49" s="42"/>
      <c r="AS49" s="42"/>
      <c r="AT49" s="42">
        <v>162</v>
      </c>
      <c r="AU49" s="118"/>
      <c r="AV49" s="42"/>
      <c r="AW49" s="42"/>
      <c r="AX49" s="42"/>
      <c r="AY49" s="42"/>
      <c r="AZ49" s="42"/>
      <c r="BA49" s="42"/>
      <c r="BB49" s="42">
        <f t="shared" ref="BB49:BB51" si="115">SUM(AM49:BA49)</f>
        <v>2184</v>
      </c>
    </row>
    <row r="50" spans="1:54" s="44" customFormat="1" hidden="1" x14ac:dyDescent="0.25">
      <c r="A50" s="133"/>
      <c r="B50" s="136"/>
      <c r="C50" s="41">
        <v>920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118"/>
      <c r="S50" s="42"/>
      <c r="T50" s="42"/>
      <c r="U50" s="42"/>
      <c r="V50" s="42">
        <f t="shared" si="106"/>
        <v>0</v>
      </c>
      <c r="W50" s="42"/>
      <c r="X50" s="42"/>
      <c r="Y50" s="42"/>
      <c r="Z50" s="42"/>
      <c r="AA50" s="42"/>
      <c r="AB50" s="42"/>
      <c r="AC50" s="42"/>
      <c r="AD50" s="42"/>
      <c r="AE50" s="42"/>
      <c r="AF50" s="118"/>
      <c r="AG50" s="42"/>
      <c r="AH50" s="42"/>
      <c r="AI50" s="42"/>
      <c r="AJ50" s="42"/>
      <c r="AK50" s="42"/>
      <c r="AL50" s="42">
        <f t="shared" si="114"/>
        <v>0</v>
      </c>
      <c r="AM50" s="42"/>
      <c r="AN50" s="42"/>
      <c r="AO50" s="42"/>
      <c r="AP50" s="42"/>
      <c r="AQ50" s="42"/>
      <c r="AR50" s="42"/>
      <c r="AS50" s="42"/>
      <c r="AT50" s="42"/>
      <c r="AU50" s="118"/>
      <c r="AV50" s="42"/>
      <c r="AW50" s="42"/>
      <c r="AX50" s="42"/>
      <c r="AY50" s="42"/>
      <c r="AZ50" s="42"/>
      <c r="BA50" s="42"/>
      <c r="BB50" s="42">
        <f t="shared" si="115"/>
        <v>0</v>
      </c>
    </row>
    <row r="51" spans="1:54" s="44" customFormat="1" hidden="1" x14ac:dyDescent="0.25">
      <c r="A51" s="134"/>
      <c r="B51" s="137"/>
      <c r="C51" s="41">
        <v>921</v>
      </c>
      <c r="D51" s="42">
        <v>250760</v>
      </c>
      <c r="E51" s="42">
        <f>4499</f>
        <v>4499</v>
      </c>
      <c r="F51" s="42">
        <f>5866</f>
        <v>5866</v>
      </c>
      <c r="G51" s="42"/>
      <c r="H51" s="42">
        <v>172</v>
      </c>
      <c r="I51" s="42"/>
      <c r="J51" s="42">
        <v>800</v>
      </c>
      <c r="K51" s="42">
        <f>10592+100</f>
        <v>10692</v>
      </c>
      <c r="L51" s="42"/>
      <c r="M51" s="42"/>
      <c r="N51" s="42">
        <f>357+255-431</f>
        <v>181</v>
      </c>
      <c r="O51" s="42"/>
      <c r="P51" s="42"/>
      <c r="Q51" s="42">
        <f>-796</f>
        <v>-796</v>
      </c>
      <c r="R51" s="118"/>
      <c r="S51" s="42"/>
      <c r="T51" s="42"/>
      <c r="U51" s="42"/>
      <c r="V51" s="42">
        <f>SUM(D51:U51)</f>
        <v>272174</v>
      </c>
      <c r="W51" s="42">
        <v>233791</v>
      </c>
      <c r="X51" s="42">
        <f>3325+284</f>
        <v>3609</v>
      </c>
      <c r="Y51" s="42"/>
      <c r="Z51" s="42">
        <v>1</v>
      </c>
      <c r="AA51" s="42">
        <v>171</v>
      </c>
      <c r="AB51" s="42"/>
      <c r="AC51" s="42"/>
      <c r="AD51" s="42"/>
      <c r="AE51" s="42"/>
      <c r="AF51" s="118"/>
      <c r="AG51" s="42"/>
      <c r="AH51" s="42"/>
      <c r="AI51" s="42"/>
      <c r="AJ51" s="42"/>
      <c r="AK51" s="42"/>
      <c r="AL51" s="42">
        <f t="shared" si="114"/>
        <v>237572</v>
      </c>
      <c r="AM51" s="42">
        <v>233791</v>
      </c>
      <c r="AN51" s="42">
        <f>3325+284</f>
        <v>3609</v>
      </c>
      <c r="AO51" s="42"/>
      <c r="AP51" s="42">
        <v>1</v>
      </c>
      <c r="AQ51" s="42">
        <v>171</v>
      </c>
      <c r="AR51" s="42"/>
      <c r="AS51" s="42"/>
      <c r="AT51" s="42"/>
      <c r="AU51" s="118"/>
      <c r="AV51" s="42"/>
      <c r="AW51" s="42"/>
      <c r="AX51" s="42"/>
      <c r="AY51" s="42"/>
      <c r="AZ51" s="42"/>
      <c r="BA51" s="42"/>
      <c r="BB51" s="42">
        <f t="shared" si="115"/>
        <v>237572</v>
      </c>
    </row>
    <row r="52" spans="1:54" s="19" customFormat="1" ht="31.5" x14ac:dyDescent="0.25">
      <c r="A52" s="78" t="s">
        <v>15</v>
      </c>
      <c r="B52" s="33" t="s">
        <v>43</v>
      </c>
      <c r="C52" s="94" t="s">
        <v>102</v>
      </c>
      <c r="D52" s="13">
        <v>25401</v>
      </c>
      <c r="E52" s="13"/>
      <c r="F52" s="13">
        <f>475+20</f>
        <v>495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15"/>
      <c r="S52" s="13"/>
      <c r="T52" s="13"/>
      <c r="U52" s="13"/>
      <c r="V52" s="13">
        <f>SUM(D52:U52)</f>
        <v>25896</v>
      </c>
      <c r="W52" s="13">
        <v>24716</v>
      </c>
      <c r="X52" s="13"/>
      <c r="Y52" s="13"/>
      <c r="Z52" s="13"/>
      <c r="AA52" s="13"/>
      <c r="AB52" s="13"/>
      <c r="AC52" s="13"/>
      <c r="AD52" s="13"/>
      <c r="AE52" s="13"/>
      <c r="AF52" s="115"/>
      <c r="AG52" s="13"/>
      <c r="AH52" s="13"/>
      <c r="AI52" s="13"/>
      <c r="AJ52" s="13"/>
      <c r="AK52" s="13"/>
      <c r="AL52" s="13">
        <f t="shared" si="114"/>
        <v>24716</v>
      </c>
      <c r="AM52" s="13">
        <v>24716</v>
      </c>
      <c r="AN52" s="13"/>
      <c r="AO52" s="13"/>
      <c r="AP52" s="13"/>
      <c r="AQ52" s="13"/>
      <c r="AR52" s="13"/>
      <c r="AS52" s="13"/>
      <c r="AT52" s="13"/>
      <c r="AU52" s="115"/>
      <c r="AV52" s="13"/>
      <c r="AW52" s="13"/>
      <c r="AX52" s="13"/>
      <c r="AY52" s="13"/>
      <c r="AZ52" s="13"/>
      <c r="BA52" s="13"/>
      <c r="BB52" s="13">
        <f>SUM(AM52:BA52)</f>
        <v>24716</v>
      </c>
    </row>
    <row r="53" spans="1:54" s="19" customFormat="1" ht="15.75" x14ac:dyDescent="0.25">
      <c r="A53" s="78" t="s">
        <v>16</v>
      </c>
      <c r="B53" s="33" t="s">
        <v>44</v>
      </c>
      <c r="C53" s="60" t="s">
        <v>66</v>
      </c>
      <c r="D53" s="13">
        <f>SUM(D54:D57)</f>
        <v>531402</v>
      </c>
      <c r="E53" s="13">
        <f t="shared" ref="E53:AK53" si="116">SUM(E54:E57)</f>
        <v>-908</v>
      </c>
      <c r="F53" s="13">
        <f t="shared" si="116"/>
        <v>4546</v>
      </c>
      <c r="G53" s="13">
        <f>SUM(G54:G57)</f>
        <v>0</v>
      </c>
      <c r="H53" s="13">
        <f t="shared" si="116"/>
        <v>10457</v>
      </c>
      <c r="I53" s="13">
        <f t="shared" si="116"/>
        <v>0</v>
      </c>
      <c r="J53" s="13">
        <f t="shared" si="116"/>
        <v>0</v>
      </c>
      <c r="K53" s="13">
        <f t="shared" si="116"/>
        <v>56797</v>
      </c>
      <c r="L53" s="13">
        <f t="shared" si="116"/>
        <v>22049</v>
      </c>
      <c r="M53" s="13">
        <f t="shared" si="116"/>
        <v>0</v>
      </c>
      <c r="N53" s="13">
        <f t="shared" si="116"/>
        <v>6304</v>
      </c>
      <c r="O53" s="13">
        <f t="shared" si="116"/>
        <v>0</v>
      </c>
      <c r="P53" s="13">
        <f t="shared" si="116"/>
        <v>0</v>
      </c>
      <c r="Q53" s="13">
        <f t="shared" si="116"/>
        <v>-3162</v>
      </c>
      <c r="R53" s="115">
        <f t="shared" si="116"/>
        <v>0</v>
      </c>
      <c r="S53" s="13">
        <f t="shared" si="116"/>
        <v>0</v>
      </c>
      <c r="T53" s="13">
        <f t="shared" si="116"/>
        <v>0</v>
      </c>
      <c r="U53" s="13">
        <f t="shared" si="116"/>
        <v>0</v>
      </c>
      <c r="V53" s="13">
        <f t="shared" si="116"/>
        <v>627485</v>
      </c>
      <c r="W53" s="13">
        <f t="shared" si="116"/>
        <v>523350</v>
      </c>
      <c r="X53" s="13">
        <f t="shared" si="116"/>
        <v>0</v>
      </c>
      <c r="Y53" s="13">
        <f t="shared" si="116"/>
        <v>0</v>
      </c>
      <c r="Z53" s="13">
        <f t="shared" si="116"/>
        <v>0</v>
      </c>
      <c r="AA53" s="13">
        <f t="shared" si="116"/>
        <v>0</v>
      </c>
      <c r="AB53" s="13">
        <f t="shared" si="116"/>
        <v>0</v>
      </c>
      <c r="AC53" s="13">
        <f t="shared" si="116"/>
        <v>39702</v>
      </c>
      <c r="AD53" s="13">
        <f t="shared" si="116"/>
        <v>53077</v>
      </c>
      <c r="AE53" s="13">
        <f t="shared" si="116"/>
        <v>500</v>
      </c>
      <c r="AF53" s="115">
        <f t="shared" si="116"/>
        <v>0</v>
      </c>
      <c r="AG53" s="13">
        <f t="shared" si="116"/>
        <v>0</v>
      </c>
      <c r="AH53" s="13">
        <f t="shared" si="116"/>
        <v>0</v>
      </c>
      <c r="AI53" s="13">
        <f t="shared" si="116"/>
        <v>0</v>
      </c>
      <c r="AJ53" s="13">
        <f t="shared" si="116"/>
        <v>0</v>
      </c>
      <c r="AK53" s="13">
        <f t="shared" si="116"/>
        <v>0</v>
      </c>
      <c r="AL53" s="13">
        <f t="shared" ref="AL53" si="117">SUM(AL54:AL57)</f>
        <v>616629</v>
      </c>
      <c r="AM53" s="13">
        <f>SUM(AM54:AM57)</f>
        <v>0</v>
      </c>
      <c r="AN53" s="13">
        <f t="shared" ref="AN53:BB53" si="118">SUM(AN54:AN57)</f>
        <v>0</v>
      </c>
      <c r="AO53" s="13">
        <f t="shared" si="118"/>
        <v>0</v>
      </c>
      <c r="AP53" s="13">
        <f t="shared" si="118"/>
        <v>0</v>
      </c>
      <c r="AQ53" s="13">
        <f t="shared" si="118"/>
        <v>0</v>
      </c>
      <c r="AR53" s="13">
        <f t="shared" si="118"/>
        <v>0</v>
      </c>
      <c r="AS53" s="13">
        <f t="shared" si="118"/>
        <v>0</v>
      </c>
      <c r="AT53" s="13">
        <f t="shared" si="118"/>
        <v>0</v>
      </c>
      <c r="AU53" s="115">
        <f t="shared" si="118"/>
        <v>0</v>
      </c>
      <c r="AV53" s="13">
        <f t="shared" si="118"/>
        <v>0</v>
      </c>
      <c r="AW53" s="13">
        <f t="shared" si="118"/>
        <v>0</v>
      </c>
      <c r="AX53" s="13">
        <f t="shared" si="118"/>
        <v>0</v>
      </c>
      <c r="AY53" s="13">
        <f t="shared" si="118"/>
        <v>0</v>
      </c>
      <c r="AZ53" s="13">
        <f t="shared" si="118"/>
        <v>0</v>
      </c>
      <c r="BA53" s="13">
        <f t="shared" si="118"/>
        <v>0</v>
      </c>
      <c r="BB53" s="13">
        <f t="shared" si="118"/>
        <v>0</v>
      </c>
    </row>
    <row r="54" spans="1:54" s="53" customFormat="1" ht="15.75" hidden="1" x14ac:dyDescent="0.25">
      <c r="A54" s="80"/>
      <c r="B54" s="52"/>
      <c r="C54" s="41">
        <v>912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119"/>
      <c r="S54" s="45"/>
      <c r="T54" s="45"/>
      <c r="U54" s="45"/>
      <c r="V54" s="45">
        <f t="shared" ref="V54:V57" si="119">SUM(D54:U54)</f>
        <v>0</v>
      </c>
      <c r="W54" s="42"/>
      <c r="X54" s="45"/>
      <c r="Y54" s="45"/>
      <c r="Z54" s="45"/>
      <c r="AA54" s="45"/>
      <c r="AB54" s="45"/>
      <c r="AC54" s="45"/>
      <c r="AD54" s="45"/>
      <c r="AE54" s="45"/>
      <c r="AF54" s="119"/>
      <c r="AG54" s="45"/>
      <c r="AH54" s="45"/>
      <c r="AI54" s="45"/>
      <c r="AJ54" s="45"/>
      <c r="AK54" s="45"/>
      <c r="AL54" s="42">
        <f t="shared" si="114"/>
        <v>0</v>
      </c>
      <c r="AM54" s="42"/>
      <c r="AN54" s="45"/>
      <c r="AO54" s="45"/>
      <c r="AP54" s="45"/>
      <c r="AQ54" s="45"/>
      <c r="AR54" s="45"/>
      <c r="AS54" s="45"/>
      <c r="AT54" s="45"/>
      <c r="AU54" s="119"/>
      <c r="AV54" s="45"/>
      <c r="AW54" s="45"/>
      <c r="AX54" s="45"/>
      <c r="AY54" s="45"/>
      <c r="AZ54" s="45"/>
      <c r="BA54" s="45"/>
      <c r="BB54" s="42">
        <f t="shared" ref="BB54:BB58" si="120">SUM(AM54:BA54)</f>
        <v>0</v>
      </c>
    </row>
    <row r="55" spans="1:54" s="53" customFormat="1" ht="15.75" hidden="1" x14ac:dyDescent="0.25">
      <c r="A55" s="80"/>
      <c r="B55" s="52"/>
      <c r="C55" s="41">
        <v>913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119"/>
      <c r="S55" s="45"/>
      <c r="T55" s="45"/>
      <c r="U55" s="45"/>
      <c r="V55" s="45">
        <f t="shared" si="119"/>
        <v>0</v>
      </c>
      <c r="W55" s="42"/>
      <c r="X55" s="45"/>
      <c r="Y55" s="45"/>
      <c r="Z55" s="45"/>
      <c r="AA55" s="45"/>
      <c r="AB55" s="45"/>
      <c r="AC55" s="45"/>
      <c r="AD55" s="45"/>
      <c r="AE55" s="45"/>
      <c r="AF55" s="119"/>
      <c r="AG55" s="45"/>
      <c r="AH55" s="45"/>
      <c r="AI55" s="45"/>
      <c r="AJ55" s="45"/>
      <c r="AK55" s="45"/>
      <c r="AL55" s="42">
        <f t="shared" si="114"/>
        <v>0</v>
      </c>
      <c r="AM55" s="42"/>
      <c r="AN55" s="45"/>
      <c r="AO55" s="45"/>
      <c r="AP55" s="45"/>
      <c r="AQ55" s="45"/>
      <c r="AR55" s="45"/>
      <c r="AS55" s="45"/>
      <c r="AT55" s="45"/>
      <c r="AU55" s="119"/>
      <c r="AV55" s="45"/>
      <c r="AW55" s="45"/>
      <c r="AX55" s="45"/>
      <c r="AY55" s="45"/>
      <c r="AZ55" s="45"/>
      <c r="BA55" s="45"/>
      <c r="BB55" s="42">
        <f t="shared" si="120"/>
        <v>0</v>
      </c>
    </row>
    <row r="56" spans="1:54" s="53" customFormat="1" ht="15.75" hidden="1" x14ac:dyDescent="0.25">
      <c r="A56" s="80"/>
      <c r="B56" s="52"/>
      <c r="C56" s="41">
        <v>917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119"/>
      <c r="S56" s="45"/>
      <c r="T56" s="45"/>
      <c r="U56" s="45"/>
      <c r="V56" s="45">
        <f t="shared" si="119"/>
        <v>0</v>
      </c>
      <c r="W56" s="42"/>
      <c r="X56" s="45"/>
      <c r="Y56" s="45"/>
      <c r="Z56" s="45"/>
      <c r="AA56" s="45"/>
      <c r="AB56" s="45"/>
      <c r="AC56" s="45"/>
      <c r="AD56" s="45"/>
      <c r="AE56" s="45"/>
      <c r="AF56" s="119"/>
      <c r="AG56" s="45"/>
      <c r="AH56" s="45"/>
      <c r="AI56" s="45"/>
      <c r="AJ56" s="45"/>
      <c r="AK56" s="45"/>
      <c r="AL56" s="42">
        <f t="shared" si="114"/>
        <v>0</v>
      </c>
      <c r="AM56" s="42"/>
      <c r="AN56" s="45"/>
      <c r="AO56" s="45"/>
      <c r="AP56" s="45"/>
      <c r="AQ56" s="45"/>
      <c r="AR56" s="45"/>
      <c r="AS56" s="45"/>
      <c r="AT56" s="45"/>
      <c r="AU56" s="119"/>
      <c r="AV56" s="45"/>
      <c r="AW56" s="45"/>
      <c r="AX56" s="45"/>
      <c r="AY56" s="45"/>
      <c r="AZ56" s="45"/>
      <c r="BA56" s="45"/>
      <c r="BB56" s="42">
        <f t="shared" si="120"/>
        <v>0</v>
      </c>
    </row>
    <row r="57" spans="1:54" s="53" customFormat="1" ht="15.75" hidden="1" x14ac:dyDescent="0.25">
      <c r="A57" s="80"/>
      <c r="B57" s="52"/>
      <c r="C57" s="41">
        <v>920</v>
      </c>
      <c r="D57" s="45">
        <v>531402</v>
      </c>
      <c r="E57" s="45">
        <f>4185-5093</f>
        <v>-908</v>
      </c>
      <c r="F57" s="45">
        <f>141+4405</f>
        <v>4546</v>
      </c>
      <c r="G57" s="45"/>
      <c r="H57" s="45">
        <v>10457</v>
      </c>
      <c r="I57" s="45"/>
      <c r="J57" s="45"/>
      <c r="K57" s="45">
        <v>56797</v>
      </c>
      <c r="L57" s="45">
        <f>12827+3449+5773</f>
        <v>22049</v>
      </c>
      <c r="M57" s="45"/>
      <c r="N57" s="45">
        <f>8468+3883-194-4035-417-1401</f>
        <v>6304</v>
      </c>
      <c r="O57" s="45"/>
      <c r="P57" s="45"/>
      <c r="Q57" s="45">
        <f>-1783-149-1230</f>
        <v>-3162</v>
      </c>
      <c r="R57" s="119"/>
      <c r="S57" s="45"/>
      <c r="T57" s="45"/>
      <c r="U57" s="45"/>
      <c r="V57" s="45">
        <f t="shared" si="119"/>
        <v>627485</v>
      </c>
      <c r="W57" s="42">
        <v>523350</v>
      </c>
      <c r="X57" s="45"/>
      <c r="Y57" s="45"/>
      <c r="Z57" s="45"/>
      <c r="AA57" s="45"/>
      <c r="AB57" s="45"/>
      <c r="AC57" s="45">
        <f>14238+25464</f>
        <v>39702</v>
      </c>
      <c r="AD57" s="45">
        <f>53077</f>
        <v>53077</v>
      </c>
      <c r="AE57" s="45">
        <v>500</v>
      </c>
      <c r="AF57" s="119"/>
      <c r="AG57" s="45"/>
      <c r="AH57" s="45"/>
      <c r="AI57" s="45"/>
      <c r="AJ57" s="45"/>
      <c r="AK57" s="45"/>
      <c r="AL57" s="42">
        <f t="shared" si="114"/>
        <v>616629</v>
      </c>
      <c r="AM57" s="42"/>
      <c r="AN57" s="45"/>
      <c r="AO57" s="45"/>
      <c r="AP57" s="45"/>
      <c r="AQ57" s="45"/>
      <c r="AR57" s="45"/>
      <c r="AS57" s="45"/>
      <c r="AT57" s="45"/>
      <c r="AU57" s="119"/>
      <c r="AV57" s="45"/>
      <c r="AW57" s="45"/>
      <c r="AX57" s="45"/>
      <c r="AY57" s="45"/>
      <c r="AZ57" s="45"/>
      <c r="BA57" s="45"/>
      <c r="BB57" s="42">
        <f t="shared" si="120"/>
        <v>0</v>
      </c>
    </row>
    <row r="58" spans="1:54" s="19" customFormat="1" ht="31.5" x14ac:dyDescent="0.25">
      <c r="A58" s="78" t="s">
        <v>17</v>
      </c>
      <c r="B58" s="33" t="s">
        <v>45</v>
      </c>
      <c r="C58" s="94" t="s">
        <v>90</v>
      </c>
      <c r="D58" s="13">
        <v>5894</v>
      </c>
      <c r="E58" s="13"/>
      <c r="F58" s="13"/>
      <c r="G58" s="13"/>
      <c r="H58" s="13"/>
      <c r="I58" s="13"/>
      <c r="J58" s="13"/>
      <c r="K58" s="13">
        <v>931</v>
      </c>
      <c r="L58" s="13">
        <v>5000</v>
      </c>
      <c r="M58" s="13">
        <f>4388+24000</f>
        <v>28388</v>
      </c>
      <c r="N58" s="13">
        <f>-28388</f>
        <v>-28388</v>
      </c>
      <c r="O58" s="13"/>
      <c r="P58" s="13"/>
      <c r="Q58" s="13"/>
      <c r="R58" s="115"/>
      <c r="S58" s="13"/>
      <c r="T58" s="13"/>
      <c r="U58" s="13"/>
      <c r="V58" s="13">
        <f>SUM(D58:U58)</f>
        <v>11825</v>
      </c>
      <c r="W58" s="13"/>
      <c r="X58" s="13"/>
      <c r="Y58" s="13"/>
      <c r="Z58" s="13"/>
      <c r="AA58" s="13"/>
      <c r="AB58" s="13"/>
      <c r="AC58" s="13"/>
      <c r="AD58" s="13"/>
      <c r="AE58" s="13"/>
      <c r="AF58" s="115"/>
      <c r="AG58" s="13"/>
      <c r="AH58" s="13"/>
      <c r="AI58" s="13"/>
      <c r="AJ58" s="13"/>
      <c r="AK58" s="13"/>
      <c r="AL58" s="13">
        <f t="shared" si="114"/>
        <v>0</v>
      </c>
      <c r="AM58" s="13"/>
      <c r="AN58" s="13"/>
      <c r="AO58" s="13"/>
      <c r="AP58" s="13"/>
      <c r="AQ58" s="13"/>
      <c r="AR58" s="13"/>
      <c r="AS58" s="13"/>
      <c r="AT58" s="13"/>
      <c r="AU58" s="115"/>
      <c r="AV58" s="13"/>
      <c r="AW58" s="13"/>
      <c r="AX58" s="13"/>
      <c r="AY58" s="13"/>
      <c r="AZ58" s="13"/>
      <c r="BA58" s="13"/>
      <c r="BB58" s="13">
        <f t="shared" si="120"/>
        <v>0</v>
      </c>
    </row>
    <row r="59" spans="1:54" s="19" customFormat="1" ht="39.75" customHeight="1" x14ac:dyDescent="0.25">
      <c r="A59" s="78" t="s">
        <v>18</v>
      </c>
      <c r="B59" s="33" t="s">
        <v>46</v>
      </c>
      <c r="C59" s="34" t="s">
        <v>75</v>
      </c>
      <c r="D59" s="35">
        <f>D60+D61+D64+D68+D70</f>
        <v>1700157</v>
      </c>
      <c r="E59" s="35">
        <f t="shared" ref="E59:BA59" si="121">E60+E61+E64+E68+E70</f>
        <v>84929</v>
      </c>
      <c r="F59" s="35">
        <f t="shared" si="121"/>
        <v>54977</v>
      </c>
      <c r="G59" s="35">
        <f t="shared" si="121"/>
        <v>140000</v>
      </c>
      <c r="H59" s="35">
        <f t="shared" si="121"/>
        <v>463743</v>
      </c>
      <c r="I59" s="35">
        <f t="shared" si="121"/>
        <v>94506</v>
      </c>
      <c r="J59" s="35">
        <f t="shared" si="121"/>
        <v>111461</v>
      </c>
      <c r="K59" s="35">
        <f>K60+K61+K64+K68+K70</f>
        <v>204583</v>
      </c>
      <c r="L59" s="35">
        <f t="shared" si="121"/>
        <v>12606</v>
      </c>
      <c r="M59" s="35">
        <f t="shared" si="121"/>
        <v>0</v>
      </c>
      <c r="N59" s="35">
        <f t="shared" si="121"/>
        <v>10616</v>
      </c>
      <c r="O59" s="35">
        <f t="shared" si="121"/>
        <v>0</v>
      </c>
      <c r="P59" s="35">
        <f t="shared" si="121"/>
        <v>213506</v>
      </c>
      <c r="Q59" s="35">
        <f t="shared" si="121"/>
        <v>-202656</v>
      </c>
      <c r="R59" s="117">
        <f t="shared" si="121"/>
        <v>0</v>
      </c>
      <c r="S59" s="35">
        <f t="shared" si="121"/>
        <v>0</v>
      </c>
      <c r="T59" s="35">
        <f t="shared" si="121"/>
        <v>0</v>
      </c>
      <c r="U59" s="35">
        <f t="shared" si="121"/>
        <v>0</v>
      </c>
      <c r="V59" s="35">
        <f t="shared" si="121"/>
        <v>2888428</v>
      </c>
      <c r="W59" s="35">
        <f t="shared" si="121"/>
        <v>1727127</v>
      </c>
      <c r="X59" s="35">
        <f t="shared" si="121"/>
        <v>48132</v>
      </c>
      <c r="Y59" s="35">
        <f t="shared" si="121"/>
        <v>50865</v>
      </c>
      <c r="Z59" s="35">
        <f t="shared" si="121"/>
        <v>0</v>
      </c>
      <c r="AA59" s="35">
        <f t="shared" si="121"/>
        <v>3391</v>
      </c>
      <c r="AB59" s="35">
        <f t="shared" si="121"/>
        <v>-21450</v>
      </c>
      <c r="AC59" s="35">
        <f t="shared" si="121"/>
        <v>14502</v>
      </c>
      <c r="AD59" s="35">
        <f t="shared" si="121"/>
        <v>0</v>
      </c>
      <c r="AE59" s="35">
        <f t="shared" si="121"/>
        <v>0</v>
      </c>
      <c r="AF59" s="117">
        <f t="shared" si="121"/>
        <v>217638</v>
      </c>
      <c r="AG59" s="35">
        <f t="shared" si="121"/>
        <v>0</v>
      </c>
      <c r="AH59" s="35">
        <f t="shared" si="121"/>
        <v>0</v>
      </c>
      <c r="AI59" s="35">
        <f t="shared" si="121"/>
        <v>0</v>
      </c>
      <c r="AJ59" s="35">
        <f t="shared" si="121"/>
        <v>0</v>
      </c>
      <c r="AK59" s="35">
        <f t="shared" si="121"/>
        <v>0</v>
      </c>
      <c r="AL59" s="35">
        <f t="shared" si="121"/>
        <v>2040205</v>
      </c>
      <c r="AM59" s="35">
        <f t="shared" si="121"/>
        <v>899830</v>
      </c>
      <c r="AN59" s="35">
        <f t="shared" si="121"/>
        <v>854479</v>
      </c>
      <c r="AO59" s="35">
        <f t="shared" si="121"/>
        <v>50870</v>
      </c>
      <c r="AP59" s="35">
        <f t="shared" si="121"/>
        <v>0</v>
      </c>
      <c r="AQ59" s="35">
        <f t="shared" si="121"/>
        <v>0</v>
      </c>
      <c r="AR59" s="35">
        <f t="shared" si="121"/>
        <v>0</v>
      </c>
      <c r="AS59" s="35">
        <f t="shared" si="121"/>
        <v>0</v>
      </c>
      <c r="AT59" s="35">
        <f t="shared" si="121"/>
        <v>0</v>
      </c>
      <c r="AU59" s="117">
        <f t="shared" si="121"/>
        <v>0</v>
      </c>
      <c r="AV59" s="35">
        <f t="shared" si="121"/>
        <v>0</v>
      </c>
      <c r="AW59" s="35">
        <f t="shared" si="121"/>
        <v>0</v>
      </c>
      <c r="AX59" s="35">
        <f t="shared" si="121"/>
        <v>0</v>
      </c>
      <c r="AY59" s="35">
        <f t="shared" si="121"/>
        <v>0</v>
      </c>
      <c r="AZ59" s="35">
        <f t="shared" si="121"/>
        <v>0</v>
      </c>
      <c r="BA59" s="35">
        <f t="shared" si="121"/>
        <v>0</v>
      </c>
      <c r="BB59" s="35">
        <f>BB60+BB61+BB64+BB68+BB70</f>
        <v>1805179</v>
      </c>
    </row>
    <row r="60" spans="1:54" s="19" customFormat="1" ht="30" x14ac:dyDescent="0.25">
      <c r="A60" s="78" t="s">
        <v>19</v>
      </c>
      <c r="B60" s="147"/>
      <c r="C60" s="37" t="s">
        <v>76</v>
      </c>
      <c r="D60" s="14">
        <v>461707</v>
      </c>
      <c r="E60" s="14"/>
      <c r="F60" s="14"/>
      <c r="G60" s="14">
        <f>-212314</f>
        <v>-212314</v>
      </c>
      <c r="H60" s="14"/>
      <c r="I60" s="14"/>
      <c r="J60" s="14"/>
      <c r="K60" s="14">
        <f>400-9</f>
        <v>391</v>
      </c>
      <c r="L60" s="14">
        <f>10316+22</f>
        <v>10338</v>
      </c>
      <c r="M60" s="14"/>
      <c r="N60" s="14">
        <f>-61-51</f>
        <v>-112</v>
      </c>
      <c r="O60" s="14"/>
      <c r="P60" s="14">
        <f>-4132</f>
        <v>-4132</v>
      </c>
      <c r="Q60" s="14"/>
      <c r="R60" s="118"/>
      <c r="S60" s="14"/>
      <c r="T60" s="14"/>
      <c r="U60" s="14"/>
      <c r="V60" s="14">
        <f>SUM(D60:U60)</f>
        <v>255878</v>
      </c>
      <c r="W60" s="72">
        <v>481209</v>
      </c>
      <c r="X60" s="14"/>
      <c r="Y60" s="14"/>
      <c r="Z60" s="14"/>
      <c r="AA60" s="14"/>
      <c r="AB60" s="14"/>
      <c r="AC60" s="14">
        <f>22080+118</f>
        <v>22198</v>
      </c>
      <c r="AD60" s="14"/>
      <c r="AE60" s="14"/>
      <c r="AF60" s="118"/>
      <c r="AG60" s="14"/>
      <c r="AH60" s="14"/>
      <c r="AI60" s="14"/>
      <c r="AJ60" s="14"/>
      <c r="AK60" s="14"/>
      <c r="AL60" s="72">
        <f>SUM(W60:AK60)</f>
        <v>503407</v>
      </c>
      <c r="AM60" s="14">
        <v>486485</v>
      </c>
      <c r="AN60" s="14"/>
      <c r="AO60" s="14"/>
      <c r="AP60" s="14"/>
      <c r="AQ60" s="14"/>
      <c r="AR60" s="14"/>
      <c r="AS60" s="14"/>
      <c r="AT60" s="14"/>
      <c r="AU60" s="118"/>
      <c r="AV60" s="14"/>
      <c r="AW60" s="14"/>
      <c r="AX60" s="14"/>
      <c r="AY60" s="14"/>
      <c r="AZ60" s="14"/>
      <c r="BA60" s="14"/>
      <c r="BB60" s="14">
        <f>SUM(AM60:BA60)</f>
        <v>486485</v>
      </c>
    </row>
    <row r="61" spans="1:54" s="19" customFormat="1" ht="38.25" customHeight="1" x14ac:dyDescent="0.25">
      <c r="A61" s="132" t="s">
        <v>20</v>
      </c>
      <c r="B61" s="148"/>
      <c r="C61" s="37" t="s">
        <v>79</v>
      </c>
      <c r="D61" s="26">
        <f>SUM(D62:D63)</f>
        <v>353278</v>
      </c>
      <c r="E61" s="26">
        <f t="shared" ref="E61:U61" si="122">SUM(E62:E63)</f>
        <v>27848</v>
      </c>
      <c r="F61" s="26">
        <f t="shared" si="122"/>
        <v>40671</v>
      </c>
      <c r="G61" s="26">
        <f t="shared" si="122"/>
        <v>0</v>
      </c>
      <c r="H61" s="26">
        <f t="shared" si="122"/>
        <v>0</v>
      </c>
      <c r="I61" s="26">
        <f t="shared" si="122"/>
        <v>0</v>
      </c>
      <c r="J61" s="26">
        <f t="shared" si="122"/>
        <v>544</v>
      </c>
      <c r="K61" s="26">
        <f t="shared" si="122"/>
        <v>0</v>
      </c>
      <c r="L61" s="26">
        <f t="shared" si="122"/>
        <v>0</v>
      </c>
      <c r="M61" s="26">
        <f t="shared" ref="M61:T61" si="123">SUM(M62:M63)</f>
        <v>0</v>
      </c>
      <c r="N61" s="26">
        <f t="shared" si="123"/>
        <v>2610</v>
      </c>
      <c r="O61" s="26">
        <f t="shared" ref="O61:P61" si="124">SUM(O62:O63)</f>
        <v>0</v>
      </c>
      <c r="P61" s="26">
        <f t="shared" si="124"/>
        <v>217638</v>
      </c>
      <c r="Q61" s="26">
        <f t="shared" si="123"/>
        <v>-218247</v>
      </c>
      <c r="R61" s="120">
        <f t="shared" si="123"/>
        <v>0</v>
      </c>
      <c r="S61" s="26">
        <f t="shared" si="123"/>
        <v>0</v>
      </c>
      <c r="T61" s="26">
        <f t="shared" si="123"/>
        <v>0</v>
      </c>
      <c r="U61" s="26">
        <f t="shared" si="122"/>
        <v>0</v>
      </c>
      <c r="V61" s="26">
        <f>SUM(V62:V63)</f>
        <v>424342</v>
      </c>
      <c r="W61" s="14">
        <f t="shared" ref="W61" si="125">SUM(W62:W63)</f>
        <v>353278</v>
      </c>
      <c r="X61" s="26">
        <f t="shared" ref="X61" si="126">SUM(X62:X63)</f>
        <v>48132</v>
      </c>
      <c r="Y61" s="26">
        <f t="shared" ref="Y61:AK61" si="127">SUM(Y62:Y63)</f>
        <v>50865</v>
      </c>
      <c r="Z61" s="26">
        <f t="shared" si="127"/>
        <v>0</v>
      </c>
      <c r="AA61" s="26">
        <f t="shared" si="127"/>
        <v>0</v>
      </c>
      <c r="AB61" s="26">
        <f t="shared" si="127"/>
        <v>0</v>
      </c>
      <c r="AC61" s="26">
        <f t="shared" si="127"/>
        <v>0</v>
      </c>
      <c r="AD61" s="26">
        <f t="shared" ref="AD61:AI61" si="128">SUM(AD62:AD63)</f>
        <v>0</v>
      </c>
      <c r="AE61" s="26">
        <f t="shared" ref="AE61" si="129">SUM(AE62:AE63)</f>
        <v>0</v>
      </c>
      <c r="AF61" s="120">
        <f t="shared" si="128"/>
        <v>217638</v>
      </c>
      <c r="AG61" s="26">
        <f t="shared" si="128"/>
        <v>0</v>
      </c>
      <c r="AH61" s="26">
        <f t="shared" si="128"/>
        <v>0</v>
      </c>
      <c r="AI61" s="26">
        <f t="shared" si="128"/>
        <v>0</v>
      </c>
      <c r="AJ61" s="26">
        <f t="shared" si="127"/>
        <v>0</v>
      </c>
      <c r="AK61" s="26">
        <f t="shared" si="127"/>
        <v>0</v>
      </c>
      <c r="AL61" s="14">
        <f>SUM(AL62:AL63)</f>
        <v>669913</v>
      </c>
      <c r="AM61" s="14">
        <f t="shared" ref="AM61:AN61" si="130">SUM(AM62:AM63)</f>
        <v>234341</v>
      </c>
      <c r="AN61" s="26">
        <f t="shared" si="130"/>
        <v>154479</v>
      </c>
      <c r="AO61" s="26">
        <f t="shared" ref="AO61:BA61" si="131">SUM(AO62:AO63)</f>
        <v>50870</v>
      </c>
      <c r="AP61" s="26">
        <f t="shared" si="131"/>
        <v>0</v>
      </c>
      <c r="AQ61" s="26">
        <f t="shared" si="131"/>
        <v>0</v>
      </c>
      <c r="AR61" s="26">
        <f t="shared" si="131"/>
        <v>0</v>
      </c>
      <c r="AS61" s="26">
        <f t="shared" si="131"/>
        <v>0</v>
      </c>
      <c r="AT61" s="26">
        <f t="shared" ref="AT61:AY61" si="132">SUM(AT62:AT63)</f>
        <v>0</v>
      </c>
      <c r="AU61" s="120">
        <f t="shared" si="132"/>
        <v>0</v>
      </c>
      <c r="AV61" s="26">
        <f t="shared" si="132"/>
        <v>0</v>
      </c>
      <c r="AW61" s="26">
        <f t="shared" si="132"/>
        <v>0</v>
      </c>
      <c r="AX61" s="26">
        <f t="shared" si="132"/>
        <v>0</v>
      </c>
      <c r="AY61" s="26">
        <f t="shared" si="132"/>
        <v>0</v>
      </c>
      <c r="AZ61" s="26">
        <f t="shared" si="131"/>
        <v>0</v>
      </c>
      <c r="BA61" s="26">
        <f t="shared" si="131"/>
        <v>0</v>
      </c>
      <c r="BB61" s="14">
        <f>SUM(BB62:BB63)</f>
        <v>439690</v>
      </c>
    </row>
    <row r="62" spans="1:54" s="44" customFormat="1" hidden="1" x14ac:dyDescent="0.25">
      <c r="A62" s="133"/>
      <c r="B62" s="148"/>
      <c r="C62" s="41">
        <v>903</v>
      </c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118"/>
      <c r="S62" s="42"/>
      <c r="T62" s="42"/>
      <c r="U62" s="42"/>
      <c r="V62" s="42">
        <f>SUM(D62:U62)</f>
        <v>0</v>
      </c>
      <c r="W62" s="42"/>
      <c r="X62" s="42"/>
      <c r="Y62" s="42"/>
      <c r="Z62" s="42"/>
      <c r="AA62" s="42"/>
      <c r="AB62" s="42"/>
      <c r="AC62" s="42"/>
      <c r="AD62" s="42"/>
      <c r="AE62" s="42"/>
      <c r="AF62" s="118"/>
      <c r="AG62" s="42"/>
      <c r="AH62" s="42"/>
      <c r="AI62" s="42"/>
      <c r="AJ62" s="42"/>
      <c r="AK62" s="42"/>
      <c r="AL62" s="42">
        <f t="shared" ref="AL62:AL69" si="133">SUM(W62:AK62)</f>
        <v>0</v>
      </c>
      <c r="AM62" s="42"/>
      <c r="AN62" s="42"/>
      <c r="AO62" s="42"/>
      <c r="AP62" s="42"/>
      <c r="AQ62" s="42"/>
      <c r="AR62" s="42"/>
      <c r="AS62" s="42"/>
      <c r="AT62" s="42"/>
      <c r="AU62" s="118"/>
      <c r="AV62" s="42"/>
      <c r="AW62" s="42"/>
      <c r="AX62" s="42"/>
      <c r="AY62" s="42"/>
      <c r="AZ62" s="42"/>
      <c r="BA62" s="42"/>
      <c r="BB62" s="42">
        <f t="shared" ref="BB62:BB69" si="134">SUM(AM62:BA62)</f>
        <v>0</v>
      </c>
    </row>
    <row r="63" spans="1:54" s="44" customFormat="1" ht="15.75" hidden="1" customHeight="1" x14ac:dyDescent="0.25">
      <c r="A63" s="134"/>
      <c r="B63" s="148"/>
      <c r="C63" s="41">
        <v>909</v>
      </c>
      <c r="D63" s="42">
        <v>353278</v>
      </c>
      <c r="E63" s="42">
        <f>28398-550</f>
        <v>27848</v>
      </c>
      <c r="F63" s="42">
        <f>40671</f>
        <v>40671</v>
      </c>
      <c r="G63" s="42"/>
      <c r="H63" s="42"/>
      <c r="I63" s="42"/>
      <c r="J63" s="42">
        <v>544</v>
      </c>
      <c r="K63" s="42"/>
      <c r="L63" s="42"/>
      <c r="M63" s="42">
        <f>-74718+21818+52900</f>
        <v>0</v>
      </c>
      <c r="N63" s="42">
        <v>2610</v>
      </c>
      <c r="O63" s="42"/>
      <c r="P63" s="42">
        <f>2176+215462</f>
        <v>217638</v>
      </c>
      <c r="Q63" s="42">
        <f>-2785-215462</f>
        <v>-218247</v>
      </c>
      <c r="R63" s="118"/>
      <c r="S63" s="42"/>
      <c r="T63" s="42"/>
      <c r="U63" s="42"/>
      <c r="V63" s="42">
        <f>SUM(D63:U63)</f>
        <v>424342</v>
      </c>
      <c r="W63" s="42">
        <v>353278</v>
      </c>
      <c r="X63" s="42">
        <f>48682-550</f>
        <v>48132</v>
      </c>
      <c r="Y63" s="42">
        <v>50865</v>
      </c>
      <c r="Z63" s="42"/>
      <c r="AA63" s="42"/>
      <c r="AB63" s="42"/>
      <c r="AC63" s="42"/>
      <c r="AD63" s="42"/>
      <c r="AE63" s="42"/>
      <c r="AF63" s="118">
        <f>217638</f>
        <v>217638</v>
      </c>
      <c r="AG63" s="42"/>
      <c r="AH63" s="42"/>
      <c r="AI63" s="42"/>
      <c r="AJ63" s="42"/>
      <c r="AK63" s="42"/>
      <c r="AL63" s="42">
        <f t="shared" si="133"/>
        <v>669913</v>
      </c>
      <c r="AM63" s="42">
        <v>234341</v>
      </c>
      <c r="AN63" s="42">
        <f>48682+62297+43500</f>
        <v>154479</v>
      </c>
      <c r="AO63" s="42">
        <v>50870</v>
      </c>
      <c r="AP63" s="42"/>
      <c r="AQ63" s="42"/>
      <c r="AR63" s="42"/>
      <c r="AS63" s="42"/>
      <c r="AT63" s="42"/>
      <c r="AU63" s="118"/>
      <c r="AV63" s="42"/>
      <c r="AW63" s="42"/>
      <c r="AX63" s="42"/>
      <c r="AY63" s="42"/>
      <c r="AZ63" s="42"/>
      <c r="BA63" s="42"/>
      <c r="BB63" s="42">
        <f t="shared" si="134"/>
        <v>439690</v>
      </c>
    </row>
    <row r="64" spans="1:54" s="19" customFormat="1" ht="35.25" customHeight="1" x14ac:dyDescent="0.25">
      <c r="A64" s="81" t="s">
        <v>21</v>
      </c>
      <c r="B64" s="148"/>
      <c r="C64" s="37" t="s">
        <v>77</v>
      </c>
      <c r="D64" s="26">
        <f>SUM(D65:D67)</f>
        <v>802106</v>
      </c>
      <c r="E64" s="26">
        <f t="shared" ref="E64:G64" si="135">SUM(E65:E67)</f>
        <v>52820</v>
      </c>
      <c r="F64" s="26">
        <f t="shared" si="135"/>
        <v>10000</v>
      </c>
      <c r="G64" s="26">
        <f t="shared" si="135"/>
        <v>347314</v>
      </c>
      <c r="H64" s="26">
        <f t="shared" ref="H64" si="136">SUM(H65:H67)</f>
        <v>463743</v>
      </c>
      <c r="I64" s="26">
        <f t="shared" ref="I64" si="137">SUM(I65:I67)</f>
        <v>90000</v>
      </c>
      <c r="J64" s="26">
        <f t="shared" ref="J64" si="138">SUM(J65:J67)</f>
        <v>110917</v>
      </c>
      <c r="K64" s="26">
        <f t="shared" ref="K64" si="139">SUM(K65:K67)</f>
        <v>184499</v>
      </c>
      <c r="L64" s="26">
        <f t="shared" ref="L64" si="140">SUM(L65:L67)</f>
        <v>-3740</v>
      </c>
      <c r="M64" s="26">
        <f t="shared" ref="M64" si="141">SUM(M65:M67)</f>
        <v>0</v>
      </c>
      <c r="N64" s="26">
        <f t="shared" ref="N64" si="142">SUM(N65:N67)</f>
        <v>4756</v>
      </c>
      <c r="O64" s="26">
        <f t="shared" ref="O64" si="143">SUM(O65:O67)</f>
        <v>0</v>
      </c>
      <c r="P64" s="26">
        <f t="shared" ref="P64" si="144">SUM(P65:P67)</f>
        <v>0</v>
      </c>
      <c r="Q64" s="26">
        <f t="shared" ref="Q64" si="145">SUM(Q65:Q67)</f>
        <v>16314</v>
      </c>
      <c r="R64" s="120">
        <f t="shared" ref="R64" si="146">SUM(R65:R67)</f>
        <v>0</v>
      </c>
      <c r="S64" s="26">
        <f t="shared" ref="S64" si="147">SUM(S65:S67)</f>
        <v>0</v>
      </c>
      <c r="T64" s="26">
        <f t="shared" ref="T64" si="148">SUM(T65:T67)</f>
        <v>0</v>
      </c>
      <c r="U64" s="26">
        <f t="shared" ref="U64" si="149">SUM(U65:U67)</f>
        <v>0</v>
      </c>
      <c r="V64" s="26">
        <f t="shared" ref="V64" si="150">SUM(V65:V67)</f>
        <v>2078729</v>
      </c>
      <c r="W64" s="14">
        <f t="shared" ref="W64" si="151">SUM(W65:W67)</f>
        <v>796677</v>
      </c>
      <c r="X64" s="26">
        <f t="shared" ref="X64" si="152">SUM(X65:X67)</f>
        <v>0</v>
      </c>
      <c r="Y64" s="26">
        <f t="shared" ref="Y64" si="153">SUM(Y65:Y67)</f>
        <v>0</v>
      </c>
      <c r="Z64" s="26">
        <f t="shared" ref="Z64" si="154">SUM(Z65:Z67)</f>
        <v>0</v>
      </c>
      <c r="AA64" s="26">
        <f t="shared" ref="AA64" si="155">SUM(AA65:AA67)</f>
        <v>3391</v>
      </c>
      <c r="AB64" s="26">
        <f t="shared" ref="AB64" si="156">SUM(AB65:AB67)</f>
        <v>-21450</v>
      </c>
      <c r="AC64" s="26">
        <f t="shared" ref="AC64" si="157">SUM(AC65:AC67)</f>
        <v>-7696</v>
      </c>
      <c r="AD64" s="26">
        <f t="shared" ref="AD64" si="158">SUM(AD65:AD67)</f>
        <v>-5164</v>
      </c>
      <c r="AE64" s="26">
        <f t="shared" ref="AE64" si="159">SUM(AE65:AE67)</f>
        <v>0</v>
      </c>
      <c r="AF64" s="120">
        <f t="shared" ref="AF64" si="160">SUM(AF65:AF67)</f>
        <v>0</v>
      </c>
      <c r="AG64" s="26">
        <f t="shared" ref="AG64" si="161">SUM(AG65:AG67)</f>
        <v>0</v>
      </c>
      <c r="AH64" s="26">
        <f t="shared" ref="AH64" si="162">SUM(AH65:AH67)</f>
        <v>0</v>
      </c>
      <c r="AI64" s="26">
        <f t="shared" ref="AI64" si="163">SUM(AI65:AI67)</f>
        <v>0</v>
      </c>
      <c r="AJ64" s="26">
        <f t="shared" ref="AJ64" si="164">SUM(AJ65:AJ67)</f>
        <v>0</v>
      </c>
      <c r="AK64" s="26">
        <f t="shared" ref="AK64" si="165">SUM(AK65:AK67)</f>
        <v>0</v>
      </c>
      <c r="AL64" s="14">
        <f t="shared" ref="AL64" si="166">SUM(AL65:AL67)</f>
        <v>765758</v>
      </c>
      <c r="AM64" s="14">
        <f t="shared" ref="AM64" si="167">SUM(AM65:AM67)</f>
        <v>78013</v>
      </c>
      <c r="AN64" s="26">
        <f t="shared" ref="AN64" si="168">SUM(AN65:AN67)</f>
        <v>700000</v>
      </c>
      <c r="AO64" s="26">
        <f t="shared" ref="AO64" si="169">SUM(AO65:AO67)</f>
        <v>0</v>
      </c>
      <c r="AP64" s="26">
        <f t="shared" ref="AP64" si="170">SUM(AP65:AP67)</f>
        <v>0</v>
      </c>
      <c r="AQ64" s="26">
        <f t="shared" ref="AQ64" si="171">SUM(AQ65:AQ67)</f>
        <v>0</v>
      </c>
      <c r="AR64" s="26">
        <f t="shared" ref="AR64" si="172">SUM(AR65:AR67)</f>
        <v>0</v>
      </c>
      <c r="AS64" s="26">
        <f t="shared" ref="AS64" si="173">SUM(AS65:AS67)</f>
        <v>0</v>
      </c>
      <c r="AT64" s="26">
        <f t="shared" ref="AT64" si="174">SUM(AT65:AT67)</f>
        <v>0</v>
      </c>
      <c r="AU64" s="120">
        <f t="shared" ref="AU64" si="175">SUM(AU65:AU67)</f>
        <v>0</v>
      </c>
      <c r="AV64" s="26">
        <f t="shared" ref="AV64" si="176">SUM(AV65:AV67)</f>
        <v>0</v>
      </c>
      <c r="AW64" s="26">
        <f t="shared" ref="AW64" si="177">SUM(AW65:AW67)</f>
        <v>0</v>
      </c>
      <c r="AX64" s="26">
        <f t="shared" ref="AX64" si="178">SUM(AX65:AX67)</f>
        <v>0</v>
      </c>
      <c r="AY64" s="26">
        <f t="shared" ref="AY64" si="179">SUM(AY65:AY67)</f>
        <v>0</v>
      </c>
      <c r="AZ64" s="26">
        <f t="shared" ref="AZ64" si="180">SUM(AZ65:AZ67)</f>
        <v>0</v>
      </c>
      <c r="BA64" s="26">
        <f t="shared" ref="BA64" si="181">SUM(BA65:BA67)</f>
        <v>0</v>
      </c>
      <c r="BB64" s="14">
        <f t="shared" ref="BB64" si="182">SUM(BB65:BB67)</f>
        <v>778013</v>
      </c>
    </row>
    <row r="65" spans="1:59" s="44" customFormat="1" hidden="1" x14ac:dyDescent="0.25">
      <c r="A65" s="82"/>
      <c r="B65" s="148"/>
      <c r="C65" s="41">
        <v>902</v>
      </c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118"/>
      <c r="S65" s="42"/>
      <c r="T65" s="42"/>
      <c r="U65" s="42"/>
      <c r="V65" s="42">
        <f>SUM(D65:U65)</f>
        <v>0</v>
      </c>
      <c r="W65" s="42"/>
      <c r="X65" s="42"/>
      <c r="Y65" s="42"/>
      <c r="Z65" s="42"/>
      <c r="AA65" s="42"/>
      <c r="AB65" s="42"/>
      <c r="AC65" s="42"/>
      <c r="AD65" s="42"/>
      <c r="AE65" s="42"/>
      <c r="AF65" s="118"/>
      <c r="AG65" s="42"/>
      <c r="AH65" s="42"/>
      <c r="AI65" s="42"/>
      <c r="AJ65" s="42"/>
      <c r="AK65" s="42"/>
      <c r="AL65" s="42">
        <f t="shared" si="133"/>
        <v>0</v>
      </c>
      <c r="AM65" s="42"/>
      <c r="AN65" s="42"/>
      <c r="AO65" s="42"/>
      <c r="AP65" s="42"/>
      <c r="AQ65" s="42"/>
      <c r="AR65" s="42"/>
      <c r="AS65" s="42"/>
      <c r="AT65" s="42"/>
      <c r="AU65" s="118"/>
      <c r="AV65" s="42"/>
      <c r="AW65" s="42"/>
      <c r="AX65" s="42"/>
      <c r="AY65" s="42"/>
      <c r="AZ65" s="42"/>
      <c r="BA65" s="42"/>
      <c r="BB65" s="42">
        <f t="shared" si="134"/>
        <v>0</v>
      </c>
    </row>
    <row r="66" spans="1:59" s="44" customFormat="1" hidden="1" x14ac:dyDescent="0.25">
      <c r="A66" s="83"/>
      <c r="B66" s="148"/>
      <c r="C66" s="41">
        <v>909</v>
      </c>
      <c r="D66" s="42">
        <v>785202</v>
      </c>
      <c r="E66" s="42">
        <f>3576+3782-3782</f>
        <v>3576</v>
      </c>
      <c r="F66" s="42">
        <v>10000</v>
      </c>
      <c r="G66" s="42">
        <f>77314+270000</f>
        <v>347314</v>
      </c>
      <c r="H66" s="42">
        <f>26743+437000</f>
        <v>463743</v>
      </c>
      <c r="I66" s="42">
        <f>90000</f>
        <v>90000</v>
      </c>
      <c r="J66" s="42">
        <f>917+110000</f>
        <v>110917</v>
      </c>
      <c r="K66" s="42">
        <f>-16066-707</f>
        <v>-16773</v>
      </c>
      <c r="L66" s="42">
        <v>-3740</v>
      </c>
      <c r="M66" s="42"/>
      <c r="N66" s="42">
        <f>-1737+4095-2981-1241</f>
        <v>-1864</v>
      </c>
      <c r="O66" s="42"/>
      <c r="P66" s="42"/>
      <c r="Q66" s="42"/>
      <c r="R66" s="118"/>
      <c r="S66" s="42"/>
      <c r="T66" s="42"/>
      <c r="U66" s="42"/>
      <c r="V66" s="42">
        <f>SUM(D66:U66)</f>
        <v>1788375</v>
      </c>
      <c r="W66" s="42">
        <v>783158</v>
      </c>
      <c r="X66" s="42"/>
      <c r="Y66" s="42"/>
      <c r="Z66" s="42"/>
      <c r="AA66" s="42">
        <v>3391</v>
      </c>
      <c r="AB66" s="42">
        <v>-21450</v>
      </c>
      <c r="AC66" s="42">
        <v>-7696</v>
      </c>
      <c r="AD66" s="42">
        <f>-5164</f>
        <v>-5164</v>
      </c>
      <c r="AE66" s="42"/>
      <c r="AF66" s="118"/>
      <c r="AG66" s="42"/>
      <c r="AH66" s="42"/>
      <c r="AI66" s="42"/>
      <c r="AJ66" s="42"/>
      <c r="AK66" s="42"/>
      <c r="AL66" s="42">
        <f t="shared" si="133"/>
        <v>752239</v>
      </c>
      <c r="AM66" s="42">
        <v>78013</v>
      </c>
      <c r="AN66" s="42">
        <f>700000</f>
        <v>700000</v>
      </c>
      <c r="AO66" s="42"/>
      <c r="AP66" s="42"/>
      <c r="AQ66" s="42"/>
      <c r="AR66" s="42"/>
      <c r="AS66" s="42"/>
      <c r="AT66" s="42"/>
      <c r="AU66" s="118"/>
      <c r="AV66" s="42"/>
      <c r="AW66" s="42"/>
      <c r="AX66" s="42"/>
      <c r="AY66" s="42"/>
      <c r="AZ66" s="42"/>
      <c r="BA66" s="42"/>
      <c r="BB66" s="42">
        <f t="shared" si="134"/>
        <v>778013</v>
      </c>
    </row>
    <row r="67" spans="1:59" s="44" customFormat="1" hidden="1" x14ac:dyDescent="0.25">
      <c r="A67" s="84"/>
      <c r="B67" s="148"/>
      <c r="C67" s="41">
        <v>914</v>
      </c>
      <c r="D67" s="42">
        <v>16904</v>
      </c>
      <c r="E67" s="42">
        <f>-280+49524</f>
        <v>49244</v>
      </c>
      <c r="F67" s="42"/>
      <c r="G67" s="42"/>
      <c r="H67" s="42"/>
      <c r="I67" s="42"/>
      <c r="J67" s="42"/>
      <c r="K67" s="42">
        <f>5272+196000</f>
        <v>201272</v>
      </c>
      <c r="L67" s="42"/>
      <c r="M67" s="42"/>
      <c r="N67" s="42">
        <f>6620</f>
        <v>6620</v>
      </c>
      <c r="O67" s="42"/>
      <c r="P67" s="42"/>
      <c r="Q67" s="42">
        <f>-1700+901+17113</f>
        <v>16314</v>
      </c>
      <c r="R67" s="118"/>
      <c r="S67" s="42"/>
      <c r="T67" s="42"/>
      <c r="U67" s="42"/>
      <c r="V67" s="42">
        <f>SUM(D67:U67)</f>
        <v>290354</v>
      </c>
      <c r="W67" s="42">
        <v>13519</v>
      </c>
      <c r="X67" s="42"/>
      <c r="Y67" s="42"/>
      <c r="Z67" s="42"/>
      <c r="AA67" s="42"/>
      <c r="AB67" s="42"/>
      <c r="AC67" s="42"/>
      <c r="AD67" s="42"/>
      <c r="AE67" s="42"/>
      <c r="AF67" s="118"/>
      <c r="AG67" s="42"/>
      <c r="AH67" s="42"/>
      <c r="AI67" s="42"/>
      <c r="AJ67" s="42"/>
      <c r="AK67" s="42"/>
      <c r="AL67" s="42">
        <f t="shared" si="133"/>
        <v>13519</v>
      </c>
      <c r="AM67" s="42"/>
      <c r="AN67" s="42"/>
      <c r="AO67" s="42"/>
      <c r="AP67" s="42"/>
      <c r="AQ67" s="42"/>
      <c r="AR67" s="42"/>
      <c r="AS67" s="42"/>
      <c r="AT67" s="42"/>
      <c r="AU67" s="118"/>
      <c r="AV67" s="42"/>
      <c r="AW67" s="42"/>
      <c r="AX67" s="42"/>
      <c r="AY67" s="42"/>
      <c r="AZ67" s="42"/>
      <c r="BA67" s="42"/>
      <c r="BB67" s="42">
        <f t="shared" si="134"/>
        <v>0</v>
      </c>
    </row>
    <row r="68" spans="1:59" s="19" customFormat="1" ht="45" hidden="1" customHeight="1" x14ac:dyDescent="0.25">
      <c r="A68" s="85" t="s">
        <v>67</v>
      </c>
      <c r="B68" s="148"/>
      <c r="C68" s="61" t="s">
        <v>68</v>
      </c>
      <c r="D68" s="26">
        <f>D69</f>
        <v>0</v>
      </c>
      <c r="E68" s="26">
        <f t="shared" ref="E68:BA70" si="183">E69</f>
        <v>0</v>
      </c>
      <c r="F68" s="26">
        <f t="shared" si="183"/>
        <v>0</v>
      </c>
      <c r="G68" s="26">
        <f t="shared" si="183"/>
        <v>0</v>
      </c>
      <c r="H68" s="26">
        <f t="shared" si="183"/>
        <v>0</v>
      </c>
      <c r="I68" s="26">
        <f t="shared" si="183"/>
        <v>0</v>
      </c>
      <c r="J68" s="26">
        <f t="shared" si="183"/>
        <v>0</v>
      </c>
      <c r="K68" s="26">
        <f t="shared" si="183"/>
        <v>0</v>
      </c>
      <c r="L68" s="26">
        <f t="shared" si="183"/>
        <v>0</v>
      </c>
      <c r="M68" s="26">
        <f t="shared" si="183"/>
        <v>0</v>
      </c>
      <c r="N68" s="26">
        <f t="shared" si="183"/>
        <v>0</v>
      </c>
      <c r="O68" s="26">
        <f t="shared" si="183"/>
        <v>0</v>
      </c>
      <c r="P68" s="26">
        <f t="shared" si="183"/>
        <v>0</v>
      </c>
      <c r="Q68" s="26">
        <f t="shared" si="183"/>
        <v>0</v>
      </c>
      <c r="R68" s="120">
        <f t="shared" si="183"/>
        <v>0</v>
      </c>
      <c r="S68" s="26">
        <f t="shared" si="183"/>
        <v>0</v>
      </c>
      <c r="T68" s="26">
        <f t="shared" si="183"/>
        <v>0</v>
      </c>
      <c r="U68" s="26">
        <f t="shared" si="183"/>
        <v>0</v>
      </c>
      <c r="V68" s="26">
        <f t="shared" si="183"/>
        <v>0</v>
      </c>
      <c r="W68" s="14">
        <f t="shared" si="183"/>
        <v>0</v>
      </c>
      <c r="X68" s="26">
        <f t="shared" si="183"/>
        <v>0</v>
      </c>
      <c r="Y68" s="26">
        <f t="shared" si="183"/>
        <v>0</v>
      </c>
      <c r="Z68" s="26">
        <f t="shared" si="183"/>
        <v>0</v>
      </c>
      <c r="AA68" s="26">
        <f t="shared" si="183"/>
        <v>0</v>
      </c>
      <c r="AB68" s="26">
        <f t="shared" si="183"/>
        <v>0</v>
      </c>
      <c r="AC68" s="26">
        <f t="shared" si="183"/>
        <v>0</v>
      </c>
      <c r="AD68" s="26">
        <f t="shared" si="183"/>
        <v>0</v>
      </c>
      <c r="AE68" s="26">
        <f t="shared" si="183"/>
        <v>0</v>
      </c>
      <c r="AF68" s="120">
        <f t="shared" si="183"/>
        <v>0</v>
      </c>
      <c r="AG68" s="26">
        <f t="shared" si="183"/>
        <v>0</v>
      </c>
      <c r="AH68" s="26">
        <f t="shared" si="183"/>
        <v>0</v>
      </c>
      <c r="AI68" s="26">
        <f t="shared" si="183"/>
        <v>0</v>
      </c>
      <c r="AJ68" s="26">
        <f t="shared" si="183"/>
        <v>0</v>
      </c>
      <c r="AK68" s="26">
        <f t="shared" si="183"/>
        <v>0</v>
      </c>
      <c r="AL68" s="14">
        <f t="shared" si="133"/>
        <v>0</v>
      </c>
      <c r="AM68" s="14">
        <f t="shared" si="183"/>
        <v>0</v>
      </c>
      <c r="AN68" s="26">
        <f t="shared" si="183"/>
        <v>0</v>
      </c>
      <c r="AO68" s="26">
        <f t="shared" si="183"/>
        <v>0</v>
      </c>
      <c r="AP68" s="26">
        <f t="shared" si="183"/>
        <v>0</v>
      </c>
      <c r="AQ68" s="26">
        <f t="shared" si="183"/>
        <v>0</v>
      </c>
      <c r="AR68" s="26">
        <f t="shared" si="183"/>
        <v>0</v>
      </c>
      <c r="AS68" s="26">
        <f t="shared" si="183"/>
        <v>0</v>
      </c>
      <c r="AT68" s="26">
        <f t="shared" si="183"/>
        <v>0</v>
      </c>
      <c r="AU68" s="120">
        <f t="shared" si="183"/>
        <v>0</v>
      </c>
      <c r="AV68" s="26">
        <f t="shared" si="183"/>
        <v>0</v>
      </c>
      <c r="AW68" s="26">
        <f t="shared" si="183"/>
        <v>0</v>
      </c>
      <c r="AX68" s="26">
        <f t="shared" si="183"/>
        <v>0</v>
      </c>
      <c r="AY68" s="26">
        <f t="shared" si="183"/>
        <v>0</v>
      </c>
      <c r="AZ68" s="26">
        <f t="shared" si="183"/>
        <v>0</v>
      </c>
      <c r="BA68" s="26">
        <f t="shared" si="183"/>
        <v>0</v>
      </c>
      <c r="BB68" s="14">
        <f t="shared" si="134"/>
        <v>0</v>
      </c>
    </row>
    <row r="69" spans="1:59" s="44" customFormat="1" hidden="1" x14ac:dyDescent="0.25">
      <c r="A69" s="84"/>
      <c r="B69" s="148"/>
      <c r="C69" s="41">
        <v>909</v>
      </c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118"/>
      <c r="S69" s="42"/>
      <c r="T69" s="42"/>
      <c r="U69" s="42"/>
      <c r="V69" s="42">
        <f>SUM(D69:U69)</f>
        <v>0</v>
      </c>
      <c r="W69" s="42"/>
      <c r="X69" s="42"/>
      <c r="Y69" s="42"/>
      <c r="Z69" s="42"/>
      <c r="AA69" s="42"/>
      <c r="AB69" s="42"/>
      <c r="AC69" s="42"/>
      <c r="AD69" s="42"/>
      <c r="AE69" s="42"/>
      <c r="AF69" s="118"/>
      <c r="AG69" s="42"/>
      <c r="AH69" s="42"/>
      <c r="AI69" s="42"/>
      <c r="AJ69" s="42"/>
      <c r="AK69" s="42"/>
      <c r="AL69" s="42">
        <f t="shared" si="133"/>
        <v>0</v>
      </c>
      <c r="AM69" s="42"/>
      <c r="AN69" s="42"/>
      <c r="AO69" s="42"/>
      <c r="AP69" s="42"/>
      <c r="AQ69" s="42"/>
      <c r="AR69" s="42"/>
      <c r="AS69" s="42"/>
      <c r="AT69" s="42"/>
      <c r="AU69" s="118"/>
      <c r="AV69" s="42"/>
      <c r="AW69" s="42"/>
      <c r="AX69" s="42"/>
      <c r="AY69" s="42"/>
      <c r="AZ69" s="42"/>
      <c r="BA69" s="42"/>
      <c r="BB69" s="42">
        <f t="shared" si="134"/>
        <v>0</v>
      </c>
    </row>
    <row r="70" spans="1:59" s="19" customFormat="1" ht="30.75" customHeight="1" x14ac:dyDescent="0.25">
      <c r="A70" s="85" t="s">
        <v>22</v>
      </c>
      <c r="B70" s="149"/>
      <c r="C70" s="37" t="s">
        <v>78</v>
      </c>
      <c r="D70" s="26">
        <f>D71</f>
        <v>83066</v>
      </c>
      <c r="E70" s="26">
        <f t="shared" si="183"/>
        <v>4261</v>
      </c>
      <c r="F70" s="26">
        <f t="shared" si="183"/>
        <v>4306</v>
      </c>
      <c r="G70" s="26">
        <f t="shared" si="183"/>
        <v>5000</v>
      </c>
      <c r="H70" s="26">
        <f t="shared" si="183"/>
        <v>0</v>
      </c>
      <c r="I70" s="26">
        <f>I71</f>
        <v>4506</v>
      </c>
      <c r="J70" s="26">
        <f t="shared" si="183"/>
        <v>0</v>
      </c>
      <c r="K70" s="26">
        <f t="shared" si="183"/>
        <v>19693</v>
      </c>
      <c r="L70" s="26">
        <f t="shared" si="183"/>
        <v>6008</v>
      </c>
      <c r="M70" s="26">
        <f t="shared" si="183"/>
        <v>0</v>
      </c>
      <c r="N70" s="26">
        <f t="shared" si="183"/>
        <v>3362</v>
      </c>
      <c r="O70" s="26">
        <f t="shared" si="183"/>
        <v>0</v>
      </c>
      <c r="P70" s="26">
        <f t="shared" si="183"/>
        <v>0</v>
      </c>
      <c r="Q70" s="26">
        <f t="shared" si="183"/>
        <v>-723</v>
      </c>
      <c r="R70" s="120">
        <f t="shared" si="183"/>
        <v>0</v>
      </c>
      <c r="S70" s="26">
        <f t="shared" si="183"/>
        <v>0</v>
      </c>
      <c r="T70" s="26">
        <f t="shared" si="183"/>
        <v>0</v>
      </c>
      <c r="U70" s="26">
        <f t="shared" si="183"/>
        <v>0</v>
      </c>
      <c r="V70" s="26">
        <f t="shared" si="183"/>
        <v>129479</v>
      </c>
      <c r="W70" s="14">
        <f t="shared" si="183"/>
        <v>95963</v>
      </c>
      <c r="X70" s="26">
        <f t="shared" si="183"/>
        <v>0</v>
      </c>
      <c r="Y70" s="26">
        <f t="shared" si="183"/>
        <v>0</v>
      </c>
      <c r="Z70" s="26">
        <f t="shared" si="183"/>
        <v>0</v>
      </c>
      <c r="AA70" s="26">
        <f t="shared" si="183"/>
        <v>0</v>
      </c>
      <c r="AB70" s="26">
        <f t="shared" si="183"/>
        <v>0</v>
      </c>
      <c r="AC70" s="26">
        <f t="shared" si="183"/>
        <v>0</v>
      </c>
      <c r="AD70" s="26">
        <f t="shared" si="183"/>
        <v>5164</v>
      </c>
      <c r="AE70" s="26">
        <f t="shared" si="183"/>
        <v>0</v>
      </c>
      <c r="AF70" s="120">
        <f t="shared" si="183"/>
        <v>0</v>
      </c>
      <c r="AG70" s="26">
        <f t="shared" si="183"/>
        <v>0</v>
      </c>
      <c r="AH70" s="26">
        <f t="shared" si="183"/>
        <v>0</v>
      </c>
      <c r="AI70" s="26">
        <f t="shared" si="183"/>
        <v>0</v>
      </c>
      <c r="AJ70" s="26">
        <f t="shared" si="183"/>
        <v>0</v>
      </c>
      <c r="AK70" s="26">
        <f t="shared" si="183"/>
        <v>0</v>
      </c>
      <c r="AL70" s="14">
        <f>SUM(AL71)</f>
        <v>101127</v>
      </c>
      <c r="AM70" s="14">
        <f t="shared" si="183"/>
        <v>100991</v>
      </c>
      <c r="AN70" s="26">
        <f t="shared" si="183"/>
        <v>0</v>
      </c>
      <c r="AO70" s="26">
        <f t="shared" si="183"/>
        <v>0</v>
      </c>
      <c r="AP70" s="26">
        <f t="shared" si="183"/>
        <v>0</v>
      </c>
      <c r="AQ70" s="26">
        <f t="shared" si="183"/>
        <v>0</v>
      </c>
      <c r="AR70" s="26">
        <f t="shared" si="183"/>
        <v>0</v>
      </c>
      <c r="AS70" s="26">
        <f t="shared" si="183"/>
        <v>0</v>
      </c>
      <c r="AT70" s="26">
        <f t="shared" si="183"/>
        <v>0</v>
      </c>
      <c r="AU70" s="120">
        <f t="shared" si="183"/>
        <v>0</v>
      </c>
      <c r="AV70" s="26">
        <f t="shared" si="183"/>
        <v>0</v>
      </c>
      <c r="AW70" s="26">
        <f t="shared" si="183"/>
        <v>0</v>
      </c>
      <c r="AX70" s="26">
        <f t="shared" si="183"/>
        <v>0</v>
      </c>
      <c r="AY70" s="26">
        <f t="shared" si="183"/>
        <v>0</v>
      </c>
      <c r="AZ70" s="26">
        <f t="shared" si="183"/>
        <v>0</v>
      </c>
      <c r="BA70" s="26">
        <f t="shared" si="183"/>
        <v>0</v>
      </c>
      <c r="BB70" s="14">
        <f>SUM(BB71)</f>
        <v>100991</v>
      </c>
    </row>
    <row r="71" spans="1:59" s="44" customFormat="1" ht="15.75" hidden="1" x14ac:dyDescent="0.25">
      <c r="A71" s="84"/>
      <c r="B71" s="46"/>
      <c r="C71" s="41">
        <v>909</v>
      </c>
      <c r="D71" s="42">
        <v>83066</v>
      </c>
      <c r="E71" s="42">
        <f>1912+2349</f>
        <v>4261</v>
      </c>
      <c r="F71" s="42">
        <v>4306</v>
      </c>
      <c r="G71" s="42">
        <f>5000</f>
        <v>5000</v>
      </c>
      <c r="H71" s="42"/>
      <c r="I71" s="42">
        <v>4506</v>
      </c>
      <c r="J71" s="42"/>
      <c r="K71" s="42">
        <f>18212-392+1873</f>
        <v>19693</v>
      </c>
      <c r="L71" s="42">
        <f>5878+130</f>
        <v>6008</v>
      </c>
      <c r="M71" s="42"/>
      <c r="N71" s="42">
        <f>-215+3417+834-533-141</f>
        <v>3362</v>
      </c>
      <c r="O71" s="42"/>
      <c r="P71" s="42"/>
      <c r="Q71" s="42">
        <v>-723</v>
      </c>
      <c r="R71" s="118"/>
      <c r="S71" s="42"/>
      <c r="T71" s="42"/>
      <c r="U71" s="42"/>
      <c r="V71" s="42">
        <f>SUM(D71:U71)</f>
        <v>129479</v>
      </c>
      <c r="W71" s="42">
        <v>95963</v>
      </c>
      <c r="X71" s="42"/>
      <c r="Y71" s="42"/>
      <c r="Z71" s="42"/>
      <c r="AA71" s="42"/>
      <c r="AB71" s="42"/>
      <c r="AC71" s="42"/>
      <c r="AD71" s="42">
        <v>5164</v>
      </c>
      <c r="AE71" s="42"/>
      <c r="AF71" s="118"/>
      <c r="AG71" s="42"/>
      <c r="AH71" s="42"/>
      <c r="AI71" s="42"/>
      <c r="AJ71" s="42"/>
      <c r="AK71" s="42"/>
      <c r="AL71" s="42">
        <f>SUM(W71:AK71)</f>
        <v>101127</v>
      </c>
      <c r="AM71" s="42">
        <v>100991</v>
      </c>
      <c r="AN71" s="42"/>
      <c r="AO71" s="42"/>
      <c r="AP71" s="42"/>
      <c r="AQ71" s="42"/>
      <c r="AR71" s="42"/>
      <c r="AS71" s="42"/>
      <c r="AT71" s="42"/>
      <c r="AU71" s="118"/>
      <c r="AV71" s="42"/>
      <c r="AW71" s="42"/>
      <c r="AX71" s="42"/>
      <c r="AY71" s="42"/>
      <c r="AZ71" s="42"/>
      <c r="BA71" s="42"/>
      <c r="BB71" s="42">
        <f>SUM(AM71:BA71)</f>
        <v>100991</v>
      </c>
    </row>
    <row r="72" spans="1:59" s="19" customFormat="1" ht="38.25" customHeight="1" x14ac:dyDescent="0.25">
      <c r="A72" s="78" t="s">
        <v>23</v>
      </c>
      <c r="B72" s="33" t="s">
        <v>47</v>
      </c>
      <c r="C72" s="34" t="s">
        <v>69</v>
      </c>
      <c r="D72" s="13">
        <v>60442</v>
      </c>
      <c r="E72" s="13"/>
      <c r="F72" s="13">
        <f>2173+643+1257+79+1614+79</f>
        <v>5845</v>
      </c>
      <c r="G72" s="13"/>
      <c r="H72" s="13"/>
      <c r="I72" s="13"/>
      <c r="J72" s="13">
        <f>240</f>
        <v>240</v>
      </c>
      <c r="K72" s="13">
        <v>750</v>
      </c>
      <c r="L72" s="13"/>
      <c r="M72" s="13"/>
      <c r="N72" s="13">
        <v>-14</v>
      </c>
      <c r="O72" s="13"/>
      <c r="P72" s="13"/>
      <c r="Q72" s="13"/>
      <c r="R72" s="115"/>
      <c r="S72" s="13"/>
      <c r="T72" s="13"/>
      <c r="U72" s="13"/>
      <c r="V72" s="13">
        <f>SUM(D72:U72)</f>
        <v>67263</v>
      </c>
      <c r="W72" s="13">
        <v>58346</v>
      </c>
      <c r="X72" s="13"/>
      <c r="Y72" s="13"/>
      <c r="Z72" s="13"/>
      <c r="AA72" s="13">
        <f>1614</f>
        <v>1614</v>
      </c>
      <c r="AB72" s="13"/>
      <c r="AC72" s="13"/>
      <c r="AD72" s="13"/>
      <c r="AE72" s="13"/>
      <c r="AF72" s="115"/>
      <c r="AG72" s="13"/>
      <c r="AH72" s="13"/>
      <c r="AI72" s="13"/>
      <c r="AJ72" s="13"/>
      <c r="AK72" s="13"/>
      <c r="AL72" s="13">
        <f>SUM(W72:AK72)</f>
        <v>59960</v>
      </c>
      <c r="AM72" s="13"/>
      <c r="AN72" s="13"/>
      <c r="AO72" s="13"/>
      <c r="AP72" s="13"/>
      <c r="AQ72" s="13"/>
      <c r="AR72" s="13"/>
      <c r="AS72" s="13"/>
      <c r="AT72" s="13"/>
      <c r="AU72" s="115"/>
      <c r="AV72" s="13"/>
      <c r="AW72" s="13"/>
      <c r="AX72" s="13"/>
      <c r="AY72" s="13"/>
      <c r="AZ72" s="13"/>
      <c r="BA72" s="13"/>
      <c r="BB72" s="13">
        <f>SUM(AM72:BA72)</f>
        <v>0</v>
      </c>
    </row>
    <row r="73" spans="1:59" s="19" customFormat="1" ht="31.5" x14ac:dyDescent="0.25">
      <c r="A73" s="78" t="s">
        <v>24</v>
      </c>
      <c r="B73" s="33" t="s">
        <v>48</v>
      </c>
      <c r="C73" s="34" t="s">
        <v>88</v>
      </c>
      <c r="D73" s="13">
        <v>91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15"/>
      <c r="S73" s="13"/>
      <c r="T73" s="13"/>
      <c r="U73" s="13"/>
      <c r="V73" s="13">
        <f>SUM(D73:U73)</f>
        <v>91</v>
      </c>
      <c r="W73" s="13">
        <v>91</v>
      </c>
      <c r="X73" s="13"/>
      <c r="Y73" s="13"/>
      <c r="Z73" s="13"/>
      <c r="AA73" s="13"/>
      <c r="AB73" s="13"/>
      <c r="AC73" s="13"/>
      <c r="AD73" s="13"/>
      <c r="AE73" s="13"/>
      <c r="AF73" s="115"/>
      <c r="AG73" s="13"/>
      <c r="AH73" s="13"/>
      <c r="AI73" s="13"/>
      <c r="AJ73" s="13"/>
      <c r="AK73" s="13"/>
      <c r="AL73" s="13">
        <f>SUM(W73:AK73)</f>
        <v>91</v>
      </c>
      <c r="AM73" s="13">
        <v>91</v>
      </c>
      <c r="AN73" s="13"/>
      <c r="AO73" s="13"/>
      <c r="AP73" s="13"/>
      <c r="AQ73" s="13"/>
      <c r="AR73" s="13"/>
      <c r="AS73" s="13"/>
      <c r="AT73" s="13"/>
      <c r="AU73" s="115"/>
      <c r="AV73" s="13"/>
      <c r="AW73" s="13"/>
      <c r="AX73" s="13"/>
      <c r="AY73" s="13"/>
      <c r="AZ73" s="13"/>
      <c r="BA73" s="13"/>
      <c r="BB73" s="13">
        <f>SUM(AM73:BA73)</f>
        <v>91</v>
      </c>
    </row>
    <row r="74" spans="1:59" s="19" customFormat="1" ht="36.75" customHeight="1" x14ac:dyDescent="0.25">
      <c r="A74" s="78" t="s">
        <v>96</v>
      </c>
      <c r="B74" s="33" t="s">
        <v>49</v>
      </c>
      <c r="C74" s="34" t="s">
        <v>97</v>
      </c>
      <c r="D74" s="13"/>
      <c r="E74" s="13">
        <f>10632+85</f>
        <v>10717</v>
      </c>
      <c r="F74" s="13"/>
      <c r="G74" s="13"/>
      <c r="H74" s="13"/>
      <c r="I74" s="13"/>
      <c r="J74" s="13"/>
      <c r="K74" s="13"/>
      <c r="L74" s="13"/>
      <c r="M74" s="13"/>
      <c r="N74" s="13">
        <f>-1800</f>
        <v>-1800</v>
      </c>
      <c r="O74" s="13"/>
      <c r="P74" s="13"/>
      <c r="Q74" s="13"/>
      <c r="R74" s="115"/>
      <c r="S74" s="13"/>
      <c r="T74" s="13"/>
      <c r="U74" s="13"/>
      <c r="V74" s="13">
        <f>SUM(D74:U74)</f>
        <v>8917</v>
      </c>
      <c r="W74" s="13"/>
      <c r="X74" s="13"/>
      <c r="Y74" s="13"/>
      <c r="Z74" s="13"/>
      <c r="AA74" s="13"/>
      <c r="AB74" s="13"/>
      <c r="AC74" s="13"/>
      <c r="AD74" s="13"/>
      <c r="AE74" s="13"/>
      <c r="AF74" s="115"/>
      <c r="AG74" s="13"/>
      <c r="AH74" s="13"/>
      <c r="AI74" s="13"/>
      <c r="AJ74" s="13"/>
      <c r="AK74" s="13"/>
      <c r="AL74" s="13">
        <f>SUM(W74:AK74)</f>
        <v>0</v>
      </c>
      <c r="AM74" s="13"/>
      <c r="AN74" s="13"/>
      <c r="AO74" s="13"/>
      <c r="AP74" s="13"/>
      <c r="AQ74" s="13"/>
      <c r="AR74" s="13"/>
      <c r="AS74" s="13"/>
      <c r="AT74" s="13"/>
      <c r="AU74" s="115"/>
      <c r="AV74" s="13"/>
      <c r="AW74" s="13"/>
      <c r="AX74" s="13"/>
      <c r="AY74" s="13"/>
      <c r="AZ74" s="13"/>
      <c r="BA74" s="13"/>
      <c r="BB74" s="13">
        <f>SUM(AM74:BA74)</f>
        <v>0</v>
      </c>
    </row>
    <row r="75" spans="1:59" s="19" customFormat="1" ht="33" customHeight="1" x14ac:dyDescent="0.25">
      <c r="A75" s="78" t="s">
        <v>25</v>
      </c>
      <c r="B75" s="33" t="s">
        <v>50</v>
      </c>
      <c r="C75" s="94" t="s">
        <v>100</v>
      </c>
      <c r="D75" s="35">
        <f>SUM(D76:D82)</f>
        <v>1100234</v>
      </c>
      <c r="E75" s="35">
        <f t="shared" ref="E75:AI75" si="184">SUM(E76:E82)</f>
        <v>70587</v>
      </c>
      <c r="F75" s="35">
        <f t="shared" si="184"/>
        <v>37375</v>
      </c>
      <c r="G75" s="35">
        <f t="shared" si="184"/>
        <v>0</v>
      </c>
      <c r="H75" s="35">
        <f>SUM(H76:H82)</f>
        <v>601</v>
      </c>
      <c r="I75" s="35">
        <f t="shared" si="184"/>
        <v>0</v>
      </c>
      <c r="J75" s="35">
        <f t="shared" si="184"/>
        <v>3331</v>
      </c>
      <c r="K75" s="35">
        <f t="shared" si="184"/>
        <v>1030</v>
      </c>
      <c r="L75" s="35">
        <f t="shared" si="184"/>
        <v>4806</v>
      </c>
      <c r="M75" s="35">
        <f t="shared" si="184"/>
        <v>9872</v>
      </c>
      <c r="N75" s="35">
        <f t="shared" si="184"/>
        <v>-9431</v>
      </c>
      <c r="O75" s="35">
        <f t="shared" si="184"/>
        <v>0</v>
      </c>
      <c r="P75" s="35">
        <f t="shared" si="184"/>
        <v>0</v>
      </c>
      <c r="Q75" s="35">
        <f t="shared" si="184"/>
        <v>-1029</v>
      </c>
      <c r="R75" s="117">
        <f t="shared" si="184"/>
        <v>783</v>
      </c>
      <c r="S75" s="35">
        <f t="shared" si="184"/>
        <v>0</v>
      </c>
      <c r="T75" s="35">
        <f t="shared" si="184"/>
        <v>0</v>
      </c>
      <c r="U75" s="35">
        <f t="shared" si="184"/>
        <v>0</v>
      </c>
      <c r="V75" s="35">
        <f>SUM(V76:V82)</f>
        <v>1218159</v>
      </c>
      <c r="W75" s="35">
        <f t="shared" si="184"/>
        <v>1098966</v>
      </c>
      <c r="X75" s="35">
        <f t="shared" si="184"/>
        <v>63536</v>
      </c>
      <c r="Y75" s="35">
        <f t="shared" si="184"/>
        <v>0</v>
      </c>
      <c r="Z75" s="35">
        <f t="shared" si="184"/>
        <v>62</v>
      </c>
      <c r="AA75" s="35">
        <f t="shared" si="184"/>
        <v>5277</v>
      </c>
      <c r="AB75" s="35">
        <f t="shared" si="184"/>
        <v>2771</v>
      </c>
      <c r="AC75" s="35">
        <f t="shared" si="184"/>
        <v>0</v>
      </c>
      <c r="AD75" s="35">
        <f t="shared" si="184"/>
        <v>1381</v>
      </c>
      <c r="AE75" s="35">
        <f t="shared" si="184"/>
        <v>0</v>
      </c>
      <c r="AF75" s="117">
        <f t="shared" si="184"/>
        <v>13</v>
      </c>
      <c r="AG75" s="35">
        <f t="shared" si="184"/>
        <v>0</v>
      </c>
      <c r="AH75" s="35">
        <f t="shared" si="184"/>
        <v>0</v>
      </c>
      <c r="AI75" s="35">
        <f t="shared" si="184"/>
        <v>0</v>
      </c>
      <c r="AJ75" s="35">
        <f t="shared" ref="AJ75:BB75" si="185">SUM(AJ76:AJ82)</f>
        <v>0</v>
      </c>
      <c r="AK75" s="35">
        <f t="shared" si="185"/>
        <v>0</v>
      </c>
      <c r="AL75" s="35">
        <f t="shared" si="185"/>
        <v>1172006</v>
      </c>
      <c r="AM75" s="35">
        <f t="shared" si="185"/>
        <v>1098966</v>
      </c>
      <c r="AN75" s="35">
        <f t="shared" si="185"/>
        <v>63536</v>
      </c>
      <c r="AO75" s="35">
        <f t="shared" si="185"/>
        <v>0</v>
      </c>
      <c r="AP75" s="35">
        <f t="shared" si="185"/>
        <v>62</v>
      </c>
      <c r="AQ75" s="35">
        <f t="shared" si="185"/>
        <v>5277</v>
      </c>
      <c r="AR75" s="35">
        <f t="shared" si="185"/>
        <v>2771</v>
      </c>
      <c r="AS75" s="35">
        <f t="shared" si="185"/>
        <v>0</v>
      </c>
      <c r="AT75" s="35">
        <f t="shared" si="185"/>
        <v>1776</v>
      </c>
      <c r="AU75" s="117">
        <f t="shared" si="185"/>
        <v>13</v>
      </c>
      <c r="AV75" s="35">
        <f t="shared" si="185"/>
        <v>0</v>
      </c>
      <c r="AW75" s="35">
        <f t="shared" si="185"/>
        <v>0</v>
      </c>
      <c r="AX75" s="35">
        <f t="shared" si="185"/>
        <v>0</v>
      </c>
      <c r="AY75" s="35">
        <f t="shared" si="185"/>
        <v>0</v>
      </c>
      <c r="AZ75" s="35">
        <f t="shared" si="185"/>
        <v>0</v>
      </c>
      <c r="BA75" s="35">
        <f t="shared" si="185"/>
        <v>0</v>
      </c>
      <c r="BB75" s="35">
        <f t="shared" si="185"/>
        <v>1172401</v>
      </c>
      <c r="BE75" s="18"/>
      <c r="BG75" s="18"/>
    </row>
    <row r="76" spans="1:59" s="19" customFormat="1" ht="15" hidden="1" customHeight="1" x14ac:dyDescent="0.25">
      <c r="A76" s="127" t="s">
        <v>59</v>
      </c>
      <c r="B76" s="47"/>
      <c r="C76" s="41">
        <v>900</v>
      </c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118"/>
      <c r="S76" s="42"/>
      <c r="T76" s="42"/>
      <c r="U76" s="42"/>
      <c r="V76" s="42">
        <f t="shared" ref="V76:V82" si="186">SUM(D76:U76)</f>
        <v>0</v>
      </c>
      <c r="W76" s="42"/>
      <c r="X76" s="42"/>
      <c r="Y76" s="42"/>
      <c r="Z76" s="42"/>
      <c r="AA76" s="42"/>
      <c r="AB76" s="42"/>
      <c r="AC76" s="42"/>
      <c r="AD76" s="42"/>
      <c r="AE76" s="42"/>
      <c r="AF76" s="118"/>
      <c r="AG76" s="42"/>
      <c r="AH76" s="42"/>
      <c r="AI76" s="42"/>
      <c r="AJ76" s="42"/>
      <c r="AK76" s="42"/>
      <c r="AL76" s="42">
        <f>W76+X76+Y76</f>
        <v>0</v>
      </c>
      <c r="AM76" s="42"/>
      <c r="AN76" s="42"/>
      <c r="AO76" s="42"/>
      <c r="AP76" s="42"/>
      <c r="AQ76" s="42"/>
      <c r="AR76" s="42"/>
      <c r="AS76" s="42"/>
      <c r="AT76" s="42"/>
      <c r="AU76" s="118"/>
      <c r="AV76" s="42"/>
      <c r="AW76" s="42"/>
      <c r="AX76" s="42"/>
      <c r="AY76" s="42"/>
      <c r="AZ76" s="42"/>
      <c r="BA76" s="42"/>
      <c r="BB76" s="42">
        <f>AM76+AN76+AO76</f>
        <v>0</v>
      </c>
    </row>
    <row r="77" spans="1:59" s="44" customFormat="1" ht="15" hidden="1" customHeight="1" x14ac:dyDescent="0.25">
      <c r="A77" s="128"/>
      <c r="B77" s="47"/>
      <c r="C77" s="41">
        <v>901</v>
      </c>
      <c r="D77" s="42">
        <v>690299</v>
      </c>
      <c r="E77" s="42">
        <v>65351</v>
      </c>
      <c r="F77" s="42">
        <f>151+21813</f>
        <v>21964</v>
      </c>
      <c r="G77" s="42"/>
      <c r="H77" s="42"/>
      <c r="I77" s="42"/>
      <c r="J77" s="42">
        <f>2284+376</f>
        <v>2660</v>
      </c>
      <c r="K77" s="42"/>
      <c r="L77" s="42">
        <f>2599</f>
        <v>2599</v>
      </c>
      <c r="M77" s="42">
        <f>127+8954</f>
        <v>9081</v>
      </c>
      <c r="N77" s="42">
        <f>1012+127</f>
        <v>1139</v>
      </c>
      <c r="O77" s="42"/>
      <c r="P77" s="42"/>
      <c r="Q77" s="42">
        <f>-200+224+1088-24</f>
        <v>1088</v>
      </c>
      <c r="R77" s="118"/>
      <c r="S77" s="42"/>
      <c r="T77" s="42"/>
      <c r="U77" s="42"/>
      <c r="V77" s="42">
        <f>SUM(D77:U77)</f>
        <v>794181</v>
      </c>
      <c r="W77" s="42">
        <v>690299</v>
      </c>
      <c r="X77" s="42">
        <v>58959</v>
      </c>
      <c r="Y77" s="42"/>
      <c r="Z77" s="42"/>
      <c r="AA77" s="42">
        <f>4877+376</f>
        <v>5253</v>
      </c>
      <c r="AB77" s="42"/>
      <c r="AC77" s="42"/>
      <c r="AD77" s="42">
        <v>1012</v>
      </c>
      <c r="AE77" s="42"/>
      <c r="AF77" s="118"/>
      <c r="AG77" s="42"/>
      <c r="AH77" s="42"/>
      <c r="AI77" s="42"/>
      <c r="AJ77" s="42"/>
      <c r="AK77" s="42"/>
      <c r="AL77" s="42">
        <f t="shared" ref="AL77:AL82" si="187">SUM(W77:AK77)</f>
        <v>755523</v>
      </c>
      <c r="AM77" s="42">
        <v>690299</v>
      </c>
      <c r="AN77" s="42">
        <v>58959</v>
      </c>
      <c r="AO77" s="42"/>
      <c r="AP77" s="42"/>
      <c r="AQ77" s="42">
        <f>376+4877</f>
        <v>5253</v>
      </c>
      <c r="AR77" s="42"/>
      <c r="AS77" s="42"/>
      <c r="AT77" s="42">
        <v>1012</v>
      </c>
      <c r="AU77" s="118"/>
      <c r="AV77" s="42"/>
      <c r="AW77" s="42"/>
      <c r="AX77" s="42"/>
      <c r="AY77" s="42"/>
      <c r="AZ77" s="42"/>
      <c r="BA77" s="42"/>
      <c r="BB77" s="42">
        <f t="shared" ref="BB77:BB82" si="188">SUM(AM77:BA77)</f>
        <v>755523</v>
      </c>
    </row>
    <row r="78" spans="1:59" s="44" customFormat="1" ht="15" hidden="1" customHeight="1" x14ac:dyDescent="0.25">
      <c r="A78" s="128"/>
      <c r="B78" s="47"/>
      <c r="C78" s="41">
        <v>902</v>
      </c>
      <c r="D78" s="42">
        <v>90035</v>
      </c>
      <c r="E78" s="42"/>
      <c r="F78" s="42">
        <f>8643</f>
        <v>8643</v>
      </c>
      <c r="G78" s="42"/>
      <c r="H78" s="42"/>
      <c r="I78" s="42"/>
      <c r="J78" s="42"/>
      <c r="K78" s="42"/>
      <c r="L78" s="42">
        <f>33</f>
        <v>33</v>
      </c>
      <c r="M78" s="42">
        <v>791</v>
      </c>
      <c r="N78" s="42">
        <f>-20+880+539+60</f>
        <v>1459</v>
      </c>
      <c r="O78" s="42"/>
      <c r="P78" s="42"/>
      <c r="Q78" s="42"/>
      <c r="R78" s="118"/>
      <c r="S78" s="42"/>
      <c r="T78" s="42"/>
      <c r="U78" s="42"/>
      <c r="V78" s="42">
        <f t="shared" si="186"/>
        <v>100961</v>
      </c>
      <c r="W78" s="42">
        <v>90035</v>
      </c>
      <c r="X78" s="42"/>
      <c r="Y78" s="42"/>
      <c r="Z78" s="42"/>
      <c r="AA78" s="42"/>
      <c r="AB78" s="42"/>
      <c r="AC78" s="42"/>
      <c r="AD78" s="42">
        <v>369</v>
      </c>
      <c r="AE78" s="42"/>
      <c r="AF78" s="118"/>
      <c r="AG78" s="42"/>
      <c r="AH78" s="42"/>
      <c r="AI78" s="42"/>
      <c r="AJ78" s="42"/>
      <c r="AK78" s="42"/>
      <c r="AL78" s="42">
        <f t="shared" si="187"/>
        <v>90404</v>
      </c>
      <c r="AM78" s="42">
        <v>90035</v>
      </c>
      <c r="AN78" s="42"/>
      <c r="AO78" s="42"/>
      <c r="AP78" s="42"/>
      <c r="AQ78" s="42"/>
      <c r="AR78" s="42"/>
      <c r="AS78" s="42"/>
      <c r="AT78" s="42">
        <v>764</v>
      </c>
      <c r="AU78" s="118"/>
      <c r="AV78" s="42"/>
      <c r="AW78" s="42"/>
      <c r="AX78" s="42"/>
      <c r="AY78" s="42"/>
      <c r="AZ78" s="42"/>
      <c r="BA78" s="42"/>
      <c r="BB78" s="42">
        <f t="shared" si="188"/>
        <v>90799</v>
      </c>
    </row>
    <row r="79" spans="1:59" s="44" customFormat="1" ht="15" hidden="1" customHeight="1" x14ac:dyDescent="0.25">
      <c r="A79" s="128"/>
      <c r="B79" s="47"/>
      <c r="C79" s="41">
        <v>903</v>
      </c>
      <c r="D79" s="42">
        <f>31653+321</f>
        <v>31974</v>
      </c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>
        <v>-1878</v>
      </c>
      <c r="R79" s="118"/>
      <c r="S79" s="42"/>
      <c r="T79" s="42"/>
      <c r="U79" s="42"/>
      <c r="V79" s="42">
        <f t="shared" si="186"/>
        <v>30096</v>
      </c>
      <c r="W79" s="42">
        <f>31653+321</f>
        <v>31974</v>
      </c>
      <c r="X79" s="42"/>
      <c r="Y79" s="42"/>
      <c r="Z79" s="42"/>
      <c r="AA79" s="42"/>
      <c r="AB79" s="42"/>
      <c r="AC79" s="42"/>
      <c r="AD79" s="42"/>
      <c r="AE79" s="42"/>
      <c r="AF79" s="118"/>
      <c r="AG79" s="42"/>
      <c r="AH79" s="42"/>
      <c r="AI79" s="42"/>
      <c r="AJ79" s="42"/>
      <c r="AK79" s="42"/>
      <c r="AL79" s="42">
        <f t="shared" si="187"/>
        <v>31974</v>
      </c>
      <c r="AM79" s="42">
        <f>31653+321</f>
        <v>31974</v>
      </c>
      <c r="AN79" s="42"/>
      <c r="AO79" s="42"/>
      <c r="AP79" s="42"/>
      <c r="AQ79" s="42"/>
      <c r="AR79" s="42"/>
      <c r="AS79" s="42"/>
      <c r="AT79" s="42"/>
      <c r="AU79" s="118"/>
      <c r="AV79" s="42"/>
      <c r="AW79" s="42"/>
      <c r="AX79" s="42"/>
      <c r="AY79" s="42"/>
      <c r="AZ79" s="42"/>
      <c r="BA79" s="42"/>
      <c r="BB79" s="42">
        <f t="shared" si="188"/>
        <v>31974</v>
      </c>
    </row>
    <row r="80" spans="1:59" s="44" customFormat="1" ht="15" hidden="1" customHeight="1" x14ac:dyDescent="0.25">
      <c r="A80" s="128"/>
      <c r="B80" s="47"/>
      <c r="C80" s="41">
        <v>910</v>
      </c>
      <c r="D80" s="42">
        <v>1105</v>
      </c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118"/>
      <c r="S80" s="42"/>
      <c r="T80" s="42"/>
      <c r="U80" s="42"/>
      <c r="V80" s="42">
        <f t="shared" si="186"/>
        <v>1105</v>
      </c>
      <c r="W80" s="42">
        <v>1105</v>
      </c>
      <c r="X80" s="42"/>
      <c r="Y80" s="42"/>
      <c r="Z80" s="42"/>
      <c r="AA80" s="42"/>
      <c r="AB80" s="42"/>
      <c r="AC80" s="42"/>
      <c r="AD80" s="42"/>
      <c r="AE80" s="42"/>
      <c r="AF80" s="118"/>
      <c r="AG80" s="42"/>
      <c r="AH80" s="42"/>
      <c r="AI80" s="42"/>
      <c r="AJ80" s="42"/>
      <c r="AK80" s="42"/>
      <c r="AL80" s="42">
        <f t="shared" si="187"/>
        <v>1105</v>
      </c>
      <c r="AM80" s="42">
        <v>1105</v>
      </c>
      <c r="AN80" s="42"/>
      <c r="AO80" s="42"/>
      <c r="AP80" s="42"/>
      <c r="AQ80" s="42"/>
      <c r="AR80" s="42"/>
      <c r="AS80" s="42"/>
      <c r="AT80" s="42"/>
      <c r="AU80" s="118"/>
      <c r="AV80" s="42"/>
      <c r="AW80" s="42"/>
      <c r="AX80" s="42"/>
      <c r="AY80" s="42"/>
      <c r="AZ80" s="42"/>
      <c r="BA80" s="42"/>
      <c r="BB80" s="42">
        <f t="shared" si="188"/>
        <v>1105</v>
      </c>
    </row>
    <row r="81" spans="1:54" s="44" customFormat="1" ht="15" hidden="1" customHeight="1" x14ac:dyDescent="0.25">
      <c r="A81" s="128"/>
      <c r="B81" s="47"/>
      <c r="C81" s="41">
        <v>921</v>
      </c>
      <c r="D81" s="42">
        <v>61667</v>
      </c>
      <c r="E81" s="42"/>
      <c r="F81" s="42"/>
      <c r="G81" s="42"/>
      <c r="H81" s="42"/>
      <c r="I81" s="42"/>
      <c r="J81" s="42"/>
      <c r="K81" s="42"/>
      <c r="L81" s="42"/>
      <c r="M81" s="42"/>
      <c r="N81" s="42">
        <f>-10082</f>
        <v>-10082</v>
      </c>
      <c r="O81" s="42"/>
      <c r="P81" s="42"/>
      <c r="Q81" s="42"/>
      <c r="R81" s="118"/>
      <c r="S81" s="42"/>
      <c r="T81" s="42"/>
      <c r="U81" s="42"/>
      <c r="V81" s="42">
        <f t="shared" si="186"/>
        <v>51585</v>
      </c>
      <c r="W81" s="42">
        <v>61667</v>
      </c>
      <c r="X81" s="42"/>
      <c r="Y81" s="42"/>
      <c r="Z81" s="42"/>
      <c r="AA81" s="42"/>
      <c r="AB81" s="42"/>
      <c r="AC81" s="42"/>
      <c r="AD81" s="42"/>
      <c r="AE81" s="42"/>
      <c r="AF81" s="118"/>
      <c r="AG81" s="42"/>
      <c r="AH81" s="42"/>
      <c r="AI81" s="42"/>
      <c r="AJ81" s="42"/>
      <c r="AK81" s="42"/>
      <c r="AL81" s="42">
        <f t="shared" si="187"/>
        <v>61667</v>
      </c>
      <c r="AM81" s="42">
        <v>61667</v>
      </c>
      <c r="AN81" s="42"/>
      <c r="AO81" s="42"/>
      <c r="AP81" s="42"/>
      <c r="AQ81" s="42"/>
      <c r="AR81" s="42"/>
      <c r="AS81" s="42"/>
      <c r="AT81" s="42"/>
      <c r="AU81" s="118"/>
      <c r="AV81" s="42"/>
      <c r="AW81" s="42"/>
      <c r="AX81" s="42"/>
      <c r="AY81" s="42"/>
      <c r="AZ81" s="42"/>
      <c r="BA81" s="42"/>
      <c r="BB81" s="42">
        <f t="shared" si="188"/>
        <v>61667</v>
      </c>
    </row>
    <row r="82" spans="1:54" s="44" customFormat="1" ht="15" hidden="1" customHeight="1" x14ac:dyDescent="0.25">
      <c r="A82" s="129"/>
      <c r="B82" s="47"/>
      <c r="C82" s="41">
        <v>923</v>
      </c>
      <c r="D82" s="42">
        <f>225913-759</f>
        <v>225154</v>
      </c>
      <c r="E82" s="42">
        <v>5236</v>
      </c>
      <c r="F82" s="42">
        <f>6590+178</f>
        <v>6768</v>
      </c>
      <c r="G82" s="42"/>
      <c r="H82" s="42">
        <f>62+264+72+203</f>
        <v>601</v>
      </c>
      <c r="I82" s="42"/>
      <c r="J82" s="42">
        <f>24+647</f>
        <v>671</v>
      </c>
      <c r="K82" s="42">
        <f>98+932</f>
        <v>1030</v>
      </c>
      <c r="L82" s="42">
        <f>2174</f>
        <v>2174</v>
      </c>
      <c r="M82" s="42"/>
      <c r="N82" s="42">
        <f>-45-826+45+166-1287</f>
        <v>-1947</v>
      </c>
      <c r="O82" s="42"/>
      <c r="P82" s="42"/>
      <c r="Q82" s="42">
        <f>-708-119+484-29+133</f>
        <v>-239</v>
      </c>
      <c r="R82" s="118">
        <v>783</v>
      </c>
      <c r="S82" s="42"/>
      <c r="T82" s="42"/>
      <c r="U82" s="42"/>
      <c r="V82" s="42">
        <f t="shared" si="186"/>
        <v>240231</v>
      </c>
      <c r="W82" s="42">
        <v>223886</v>
      </c>
      <c r="X82" s="42">
        <f>4577</f>
        <v>4577</v>
      </c>
      <c r="Y82" s="42"/>
      <c r="Z82" s="42">
        <v>62</v>
      </c>
      <c r="AA82" s="42">
        <v>24</v>
      </c>
      <c r="AB82" s="42">
        <f>2771</f>
        <v>2771</v>
      </c>
      <c r="AC82" s="42"/>
      <c r="AD82" s="42"/>
      <c r="AE82" s="42"/>
      <c r="AF82" s="118">
        <v>13</v>
      </c>
      <c r="AG82" s="42"/>
      <c r="AH82" s="42"/>
      <c r="AI82" s="42"/>
      <c r="AJ82" s="42"/>
      <c r="AK82" s="42"/>
      <c r="AL82" s="42">
        <f t="shared" si="187"/>
        <v>231333</v>
      </c>
      <c r="AM82" s="42">
        <v>223886</v>
      </c>
      <c r="AN82" s="42">
        <v>4577</v>
      </c>
      <c r="AO82" s="42"/>
      <c r="AP82" s="42">
        <v>62</v>
      </c>
      <c r="AQ82" s="42">
        <v>24</v>
      </c>
      <c r="AR82" s="42">
        <f>2771</f>
        <v>2771</v>
      </c>
      <c r="AS82" s="42"/>
      <c r="AT82" s="42"/>
      <c r="AU82" s="118">
        <v>13</v>
      </c>
      <c r="AV82" s="42"/>
      <c r="AW82" s="42"/>
      <c r="AX82" s="42"/>
      <c r="AY82" s="42"/>
      <c r="AZ82" s="42"/>
      <c r="BA82" s="42"/>
      <c r="BB82" s="42">
        <f t="shared" si="188"/>
        <v>231333</v>
      </c>
    </row>
    <row r="83" spans="1:54" s="19" customFormat="1" ht="30.75" customHeight="1" x14ac:dyDescent="0.25">
      <c r="A83" s="91" t="s">
        <v>82</v>
      </c>
      <c r="B83" s="93"/>
      <c r="C83" s="95" t="s">
        <v>101</v>
      </c>
      <c r="D83" s="92">
        <f>SUM(D84:D86)</f>
        <v>1435</v>
      </c>
      <c r="E83" s="92">
        <f t="shared" ref="E83:BB83" si="189">SUM(E84:E86)</f>
        <v>0</v>
      </c>
      <c r="F83" s="92">
        <f t="shared" si="189"/>
        <v>0</v>
      </c>
      <c r="G83" s="92">
        <f t="shared" si="189"/>
        <v>0</v>
      </c>
      <c r="H83" s="92">
        <f t="shared" si="189"/>
        <v>118</v>
      </c>
      <c r="I83" s="92">
        <f t="shared" si="189"/>
        <v>0</v>
      </c>
      <c r="J83" s="92">
        <f t="shared" si="189"/>
        <v>0</v>
      </c>
      <c r="K83" s="92">
        <f t="shared" si="189"/>
        <v>0</v>
      </c>
      <c r="L83" s="92">
        <f t="shared" si="189"/>
        <v>0</v>
      </c>
      <c r="M83" s="92">
        <f t="shared" si="189"/>
        <v>0</v>
      </c>
      <c r="N83" s="92">
        <f t="shared" si="189"/>
        <v>14</v>
      </c>
      <c r="O83" s="92">
        <f t="shared" si="189"/>
        <v>0</v>
      </c>
      <c r="P83" s="92">
        <f t="shared" si="189"/>
        <v>0</v>
      </c>
      <c r="Q83" s="92">
        <f t="shared" si="189"/>
        <v>-24</v>
      </c>
      <c r="R83" s="121">
        <f t="shared" si="189"/>
        <v>0</v>
      </c>
      <c r="S83" s="92">
        <f t="shared" si="189"/>
        <v>0</v>
      </c>
      <c r="T83" s="92">
        <f t="shared" si="189"/>
        <v>0</v>
      </c>
      <c r="U83" s="92">
        <f t="shared" si="189"/>
        <v>0</v>
      </c>
      <c r="V83" s="92">
        <f>SUM(V84:V86)</f>
        <v>1543</v>
      </c>
      <c r="W83" s="92">
        <f t="shared" si="189"/>
        <v>1149</v>
      </c>
      <c r="X83" s="92">
        <f t="shared" si="189"/>
        <v>0</v>
      </c>
      <c r="Y83" s="92">
        <f t="shared" si="189"/>
        <v>0</v>
      </c>
      <c r="Z83" s="92">
        <f t="shared" si="189"/>
        <v>0</v>
      </c>
      <c r="AA83" s="92">
        <f t="shared" si="189"/>
        <v>0</v>
      </c>
      <c r="AB83" s="92">
        <f t="shared" si="189"/>
        <v>0</v>
      </c>
      <c r="AC83" s="92">
        <f t="shared" si="189"/>
        <v>0</v>
      </c>
      <c r="AD83" s="92">
        <f t="shared" si="189"/>
        <v>0</v>
      </c>
      <c r="AE83" s="92">
        <f t="shared" si="189"/>
        <v>0</v>
      </c>
      <c r="AF83" s="121">
        <f t="shared" si="189"/>
        <v>0</v>
      </c>
      <c r="AG83" s="92">
        <f t="shared" si="189"/>
        <v>0</v>
      </c>
      <c r="AH83" s="92">
        <f t="shared" si="189"/>
        <v>0</v>
      </c>
      <c r="AI83" s="92">
        <f t="shared" si="189"/>
        <v>0</v>
      </c>
      <c r="AJ83" s="92">
        <f t="shared" si="189"/>
        <v>0</v>
      </c>
      <c r="AK83" s="92">
        <f t="shared" si="189"/>
        <v>0</v>
      </c>
      <c r="AL83" s="92">
        <f t="shared" si="189"/>
        <v>1149</v>
      </c>
      <c r="AM83" s="92">
        <f t="shared" si="189"/>
        <v>1149</v>
      </c>
      <c r="AN83" s="92">
        <f t="shared" si="189"/>
        <v>0</v>
      </c>
      <c r="AO83" s="92">
        <f t="shared" si="189"/>
        <v>0</v>
      </c>
      <c r="AP83" s="92">
        <f t="shared" si="189"/>
        <v>0</v>
      </c>
      <c r="AQ83" s="92">
        <f t="shared" si="189"/>
        <v>0</v>
      </c>
      <c r="AR83" s="92">
        <f t="shared" si="189"/>
        <v>0</v>
      </c>
      <c r="AS83" s="92">
        <f t="shared" si="189"/>
        <v>0</v>
      </c>
      <c r="AT83" s="92">
        <f t="shared" si="189"/>
        <v>0</v>
      </c>
      <c r="AU83" s="121">
        <f t="shared" si="189"/>
        <v>0</v>
      </c>
      <c r="AV83" s="92">
        <f t="shared" si="189"/>
        <v>0</v>
      </c>
      <c r="AW83" s="92">
        <f t="shared" si="189"/>
        <v>0</v>
      </c>
      <c r="AX83" s="92">
        <f t="shared" si="189"/>
        <v>0</v>
      </c>
      <c r="AY83" s="92">
        <f t="shared" si="189"/>
        <v>0</v>
      </c>
      <c r="AZ83" s="92">
        <f t="shared" si="189"/>
        <v>0</v>
      </c>
      <c r="BA83" s="92">
        <f t="shared" si="189"/>
        <v>0</v>
      </c>
      <c r="BB83" s="92">
        <f t="shared" si="189"/>
        <v>1149</v>
      </c>
    </row>
    <row r="84" spans="1:54" s="44" customFormat="1" ht="15" hidden="1" customHeight="1" x14ac:dyDescent="0.25">
      <c r="A84" s="90"/>
      <c r="B84" s="47"/>
      <c r="C84" s="41">
        <v>900</v>
      </c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118"/>
      <c r="S84" s="42"/>
      <c r="T84" s="42"/>
      <c r="U84" s="42"/>
      <c r="V84" s="42">
        <f t="shared" ref="V84:V86" si="190">SUM(D84:U84)</f>
        <v>0</v>
      </c>
      <c r="W84" s="42"/>
      <c r="X84" s="42"/>
      <c r="Y84" s="42"/>
      <c r="Z84" s="42"/>
      <c r="AA84" s="42"/>
      <c r="AB84" s="42"/>
      <c r="AC84" s="42"/>
      <c r="AD84" s="42"/>
      <c r="AE84" s="42"/>
      <c r="AF84" s="118"/>
      <c r="AG84" s="42"/>
      <c r="AH84" s="42"/>
      <c r="AI84" s="42"/>
      <c r="AJ84" s="42"/>
      <c r="AK84" s="42"/>
      <c r="AL84" s="42">
        <f t="shared" ref="AL84:AL86" si="191">W84+X84+Y84</f>
        <v>0</v>
      </c>
      <c r="AM84" s="42"/>
      <c r="AN84" s="42"/>
      <c r="AO84" s="42"/>
      <c r="AP84" s="42"/>
      <c r="AQ84" s="42"/>
      <c r="AR84" s="42"/>
      <c r="AS84" s="42"/>
      <c r="AT84" s="42"/>
      <c r="AU84" s="118"/>
      <c r="AV84" s="42"/>
      <c r="AW84" s="42"/>
      <c r="AX84" s="42"/>
      <c r="AY84" s="42"/>
      <c r="AZ84" s="42"/>
      <c r="BA84" s="42"/>
      <c r="BB84" s="42">
        <f t="shared" ref="BB84:BB86" si="192">AM84+AN84+AO84</f>
        <v>0</v>
      </c>
    </row>
    <row r="85" spans="1:54" s="44" customFormat="1" ht="15" hidden="1" customHeight="1" x14ac:dyDescent="0.25">
      <c r="A85" s="90"/>
      <c r="B85" s="47"/>
      <c r="C85" s="41">
        <v>901</v>
      </c>
      <c r="D85" s="42">
        <v>223</v>
      </c>
      <c r="E85" s="42"/>
      <c r="F85" s="42"/>
      <c r="G85" s="42"/>
      <c r="H85" s="42">
        <v>118</v>
      </c>
      <c r="I85" s="42"/>
      <c r="J85" s="42"/>
      <c r="K85" s="42"/>
      <c r="L85" s="42"/>
      <c r="M85" s="42"/>
      <c r="N85" s="42"/>
      <c r="O85" s="42"/>
      <c r="P85" s="42"/>
      <c r="Q85" s="42">
        <v>-24</v>
      </c>
      <c r="R85" s="118"/>
      <c r="S85" s="42"/>
      <c r="T85" s="42"/>
      <c r="U85" s="42"/>
      <c r="V85" s="42">
        <f t="shared" si="190"/>
        <v>317</v>
      </c>
      <c r="W85" s="42">
        <v>223</v>
      </c>
      <c r="X85" s="42"/>
      <c r="Y85" s="42"/>
      <c r="Z85" s="42"/>
      <c r="AA85" s="42"/>
      <c r="AB85" s="42"/>
      <c r="AC85" s="42"/>
      <c r="AD85" s="42"/>
      <c r="AE85" s="42"/>
      <c r="AF85" s="118"/>
      <c r="AG85" s="42"/>
      <c r="AH85" s="42"/>
      <c r="AI85" s="42"/>
      <c r="AJ85" s="42"/>
      <c r="AK85" s="42"/>
      <c r="AL85" s="42">
        <f t="shared" si="191"/>
        <v>223</v>
      </c>
      <c r="AM85" s="42">
        <v>223</v>
      </c>
      <c r="AN85" s="42"/>
      <c r="AO85" s="42"/>
      <c r="AP85" s="42"/>
      <c r="AQ85" s="42"/>
      <c r="AR85" s="42"/>
      <c r="AS85" s="42"/>
      <c r="AT85" s="42"/>
      <c r="AU85" s="118"/>
      <c r="AV85" s="42"/>
      <c r="AW85" s="42"/>
      <c r="AX85" s="42"/>
      <c r="AY85" s="42"/>
      <c r="AZ85" s="42"/>
      <c r="BA85" s="42"/>
      <c r="BB85" s="42">
        <f t="shared" si="192"/>
        <v>223</v>
      </c>
    </row>
    <row r="86" spans="1:54" s="44" customFormat="1" ht="15" hidden="1" customHeight="1" x14ac:dyDescent="0.25">
      <c r="A86" s="90"/>
      <c r="B86" s="47"/>
      <c r="C86" s="41">
        <v>923</v>
      </c>
      <c r="D86" s="42">
        <v>1212</v>
      </c>
      <c r="E86" s="42"/>
      <c r="F86" s="42"/>
      <c r="G86" s="42"/>
      <c r="H86" s="42"/>
      <c r="I86" s="42"/>
      <c r="J86" s="42"/>
      <c r="K86" s="42"/>
      <c r="L86" s="42"/>
      <c r="M86" s="42"/>
      <c r="N86" s="42">
        <f>11+3</f>
        <v>14</v>
      </c>
      <c r="O86" s="42"/>
      <c r="P86" s="42"/>
      <c r="Q86" s="42"/>
      <c r="R86" s="118"/>
      <c r="S86" s="42"/>
      <c r="T86" s="42"/>
      <c r="U86" s="42"/>
      <c r="V86" s="42">
        <f t="shared" si="190"/>
        <v>1226</v>
      </c>
      <c r="W86" s="42">
        <v>926</v>
      </c>
      <c r="X86" s="42"/>
      <c r="Y86" s="42"/>
      <c r="Z86" s="42"/>
      <c r="AA86" s="42"/>
      <c r="AB86" s="42"/>
      <c r="AC86" s="42"/>
      <c r="AD86" s="42"/>
      <c r="AE86" s="42"/>
      <c r="AF86" s="118"/>
      <c r="AG86" s="42"/>
      <c r="AH86" s="42"/>
      <c r="AI86" s="42"/>
      <c r="AJ86" s="42"/>
      <c r="AK86" s="42"/>
      <c r="AL86" s="42">
        <f t="shared" si="191"/>
        <v>926</v>
      </c>
      <c r="AM86" s="42">
        <v>926</v>
      </c>
      <c r="AN86" s="42"/>
      <c r="AO86" s="42"/>
      <c r="AP86" s="42"/>
      <c r="AQ86" s="42"/>
      <c r="AR86" s="42"/>
      <c r="AS86" s="42"/>
      <c r="AT86" s="42"/>
      <c r="AU86" s="118"/>
      <c r="AV86" s="42"/>
      <c r="AW86" s="42"/>
      <c r="AX86" s="42"/>
      <c r="AY86" s="42"/>
      <c r="AZ86" s="42"/>
      <c r="BA86" s="42"/>
      <c r="BB86" s="42">
        <f t="shared" si="192"/>
        <v>926</v>
      </c>
    </row>
    <row r="87" spans="1:54" s="19" customFormat="1" ht="36" customHeight="1" x14ac:dyDescent="0.25">
      <c r="A87" s="78" t="s">
        <v>26</v>
      </c>
      <c r="B87" s="33" t="s">
        <v>51</v>
      </c>
      <c r="C87" s="94" t="s">
        <v>91</v>
      </c>
      <c r="D87" s="13">
        <v>23897</v>
      </c>
      <c r="E87" s="13"/>
      <c r="F87" s="13">
        <f>25641+15241</f>
        <v>40882</v>
      </c>
      <c r="G87" s="13"/>
      <c r="H87" s="13"/>
      <c r="I87" s="13"/>
      <c r="J87" s="13"/>
      <c r="K87" s="13">
        <v>1192</v>
      </c>
      <c r="L87" s="13"/>
      <c r="M87" s="13"/>
      <c r="N87" s="13">
        <f>-335-335</f>
        <v>-670</v>
      </c>
      <c r="O87" s="13"/>
      <c r="P87" s="13"/>
      <c r="Q87" s="13"/>
      <c r="R87" s="115"/>
      <c r="S87" s="13"/>
      <c r="T87" s="13"/>
      <c r="U87" s="13"/>
      <c r="V87" s="13">
        <f>SUM(D87:U87)</f>
        <v>65301</v>
      </c>
      <c r="W87" s="13"/>
      <c r="X87" s="13"/>
      <c r="Y87" s="13"/>
      <c r="Z87" s="13">
        <f>2355-4710+2521-166</f>
        <v>0</v>
      </c>
      <c r="AA87" s="13"/>
      <c r="AB87" s="13"/>
      <c r="AC87" s="13"/>
      <c r="AD87" s="13"/>
      <c r="AE87" s="13"/>
      <c r="AF87" s="115"/>
      <c r="AG87" s="13"/>
      <c r="AH87" s="13"/>
      <c r="AI87" s="13"/>
      <c r="AJ87" s="13"/>
      <c r="AK87" s="13"/>
      <c r="AL87" s="13">
        <f t="shared" ref="AL87:AL92" si="193">SUM(W87:AK87)</f>
        <v>0</v>
      </c>
      <c r="AM87" s="13"/>
      <c r="AN87" s="13"/>
      <c r="AO87" s="13"/>
      <c r="AP87" s="13"/>
      <c r="AQ87" s="13"/>
      <c r="AR87" s="13"/>
      <c r="AS87" s="13"/>
      <c r="AT87" s="13"/>
      <c r="AU87" s="115"/>
      <c r="AV87" s="13"/>
      <c r="AW87" s="13"/>
      <c r="AX87" s="13"/>
      <c r="AY87" s="13"/>
      <c r="AZ87" s="13"/>
      <c r="BA87" s="13"/>
      <c r="BB87" s="13">
        <f>SUM(AM87:BA87)</f>
        <v>0</v>
      </c>
    </row>
    <row r="88" spans="1:54" s="19" customFormat="1" ht="35.25" customHeight="1" x14ac:dyDescent="0.25">
      <c r="A88" s="78" t="s">
        <v>27</v>
      </c>
      <c r="B88" s="33" t="s">
        <v>52</v>
      </c>
      <c r="C88" s="34" t="s">
        <v>89</v>
      </c>
      <c r="D88" s="13">
        <f>SUM(D89:D90)</f>
        <v>87020</v>
      </c>
      <c r="E88" s="13">
        <f t="shared" ref="E88:BB88" si="194">SUM(E89:E90)</f>
        <v>7059</v>
      </c>
      <c r="F88" s="13">
        <f t="shared" si="194"/>
        <v>607958</v>
      </c>
      <c r="G88" s="13">
        <f t="shared" si="194"/>
        <v>0</v>
      </c>
      <c r="H88" s="13">
        <f t="shared" si="194"/>
        <v>0</v>
      </c>
      <c r="I88" s="13">
        <f t="shared" si="194"/>
        <v>0</v>
      </c>
      <c r="J88" s="13">
        <f t="shared" si="194"/>
        <v>11937</v>
      </c>
      <c r="K88" s="13">
        <f t="shared" si="194"/>
        <v>0</v>
      </c>
      <c r="L88" s="13">
        <f t="shared" si="194"/>
        <v>0</v>
      </c>
      <c r="M88" s="13">
        <f t="shared" si="194"/>
        <v>0</v>
      </c>
      <c r="N88" s="13">
        <f t="shared" si="194"/>
        <v>-24648</v>
      </c>
      <c r="O88" s="13">
        <f t="shared" si="194"/>
        <v>0</v>
      </c>
      <c r="P88" s="13">
        <f t="shared" si="194"/>
        <v>-2550</v>
      </c>
      <c r="Q88" s="13">
        <f t="shared" si="194"/>
        <v>0</v>
      </c>
      <c r="R88" s="115">
        <f t="shared" si="194"/>
        <v>0</v>
      </c>
      <c r="S88" s="13">
        <f t="shared" si="194"/>
        <v>0</v>
      </c>
      <c r="T88" s="13">
        <f t="shared" si="194"/>
        <v>0</v>
      </c>
      <c r="U88" s="13">
        <f t="shared" si="194"/>
        <v>0</v>
      </c>
      <c r="V88" s="13">
        <f t="shared" si="194"/>
        <v>686776</v>
      </c>
      <c r="W88" s="13">
        <f t="shared" si="194"/>
        <v>29556</v>
      </c>
      <c r="X88" s="13">
        <f t="shared" si="194"/>
        <v>0</v>
      </c>
      <c r="Y88" s="13">
        <f t="shared" si="194"/>
        <v>28846</v>
      </c>
      <c r="Z88" s="13">
        <f t="shared" si="194"/>
        <v>0</v>
      </c>
      <c r="AA88" s="13">
        <f t="shared" si="194"/>
        <v>8169</v>
      </c>
      <c r="AB88" s="13">
        <f t="shared" si="194"/>
        <v>0</v>
      </c>
      <c r="AC88" s="13">
        <f t="shared" si="194"/>
        <v>0</v>
      </c>
      <c r="AD88" s="13">
        <f t="shared" si="194"/>
        <v>0</v>
      </c>
      <c r="AE88" s="13">
        <f t="shared" si="194"/>
        <v>0</v>
      </c>
      <c r="AF88" s="115">
        <f t="shared" si="194"/>
        <v>0</v>
      </c>
      <c r="AG88" s="13">
        <f t="shared" si="194"/>
        <v>0</v>
      </c>
      <c r="AH88" s="13">
        <f t="shared" si="194"/>
        <v>0</v>
      </c>
      <c r="AI88" s="13">
        <f t="shared" si="194"/>
        <v>0</v>
      </c>
      <c r="AJ88" s="13">
        <f t="shared" si="194"/>
        <v>0</v>
      </c>
      <c r="AK88" s="13">
        <f t="shared" si="194"/>
        <v>0</v>
      </c>
      <c r="AL88" s="13">
        <f t="shared" si="194"/>
        <v>66571</v>
      </c>
      <c r="AM88" s="13">
        <f t="shared" si="194"/>
        <v>11646</v>
      </c>
      <c r="AN88" s="13">
        <f t="shared" si="194"/>
        <v>0</v>
      </c>
      <c r="AO88" s="13">
        <f t="shared" si="194"/>
        <v>0</v>
      </c>
      <c r="AP88" s="13">
        <f t="shared" si="194"/>
        <v>0</v>
      </c>
      <c r="AQ88" s="13">
        <f t="shared" si="194"/>
        <v>0</v>
      </c>
      <c r="AR88" s="13">
        <f t="shared" si="194"/>
        <v>0</v>
      </c>
      <c r="AS88" s="13">
        <f t="shared" si="194"/>
        <v>0</v>
      </c>
      <c r="AT88" s="13">
        <f t="shared" si="194"/>
        <v>0</v>
      </c>
      <c r="AU88" s="115">
        <f t="shared" si="194"/>
        <v>0</v>
      </c>
      <c r="AV88" s="13">
        <f t="shared" si="194"/>
        <v>0</v>
      </c>
      <c r="AW88" s="13">
        <f t="shared" si="194"/>
        <v>0</v>
      </c>
      <c r="AX88" s="13">
        <f t="shared" si="194"/>
        <v>0</v>
      </c>
      <c r="AY88" s="13">
        <f t="shared" si="194"/>
        <v>0</v>
      </c>
      <c r="AZ88" s="13">
        <f t="shared" si="194"/>
        <v>0</v>
      </c>
      <c r="BA88" s="13">
        <f t="shared" si="194"/>
        <v>0</v>
      </c>
      <c r="BB88" s="13">
        <f t="shared" si="194"/>
        <v>11646</v>
      </c>
    </row>
    <row r="89" spans="1:54" s="53" customFormat="1" ht="15.75" hidden="1" x14ac:dyDescent="0.25">
      <c r="A89" s="80"/>
      <c r="B89" s="52"/>
      <c r="C89" s="48">
        <v>914</v>
      </c>
      <c r="D89" s="42">
        <v>1628</v>
      </c>
      <c r="E89" s="45"/>
      <c r="F89" s="45"/>
      <c r="G89" s="45"/>
      <c r="H89" s="45"/>
      <c r="I89" s="45"/>
      <c r="J89" s="45"/>
      <c r="K89" s="45"/>
      <c r="L89" s="45"/>
      <c r="M89" s="45"/>
      <c r="N89" s="45">
        <v>-1628</v>
      </c>
      <c r="O89" s="45"/>
      <c r="P89" s="45"/>
      <c r="Q89" s="45"/>
      <c r="R89" s="119"/>
      <c r="S89" s="45"/>
      <c r="T89" s="45"/>
      <c r="U89" s="45"/>
      <c r="V89" s="42">
        <f t="shared" ref="V89:V90" si="195">SUM(D89:U89)</f>
        <v>0</v>
      </c>
      <c r="W89" s="42">
        <v>14626</v>
      </c>
      <c r="X89" s="45"/>
      <c r="Y89" s="45"/>
      <c r="Z89" s="45"/>
      <c r="AA89" s="45"/>
      <c r="AB89" s="45"/>
      <c r="AC89" s="45"/>
      <c r="AD89" s="45"/>
      <c r="AE89" s="45"/>
      <c r="AF89" s="119"/>
      <c r="AG89" s="45"/>
      <c r="AH89" s="45"/>
      <c r="AI89" s="45"/>
      <c r="AJ89" s="45"/>
      <c r="AK89" s="45"/>
      <c r="AL89" s="42">
        <f t="shared" ref="AL89:AL90" si="196">SUM(W89:AK89)</f>
        <v>14626</v>
      </c>
      <c r="AM89" s="42"/>
      <c r="AN89" s="45"/>
      <c r="AO89" s="45"/>
      <c r="AP89" s="45"/>
      <c r="AQ89" s="45"/>
      <c r="AR89" s="45"/>
      <c r="AS89" s="45"/>
      <c r="AT89" s="45"/>
      <c r="AU89" s="119"/>
      <c r="AV89" s="45"/>
      <c r="AW89" s="45"/>
      <c r="AX89" s="45"/>
      <c r="AY89" s="45"/>
      <c r="AZ89" s="45"/>
      <c r="BA89" s="45"/>
      <c r="BB89" s="42">
        <f t="shared" ref="BB89:BB90" si="197">SUM(AM89:BA89)</f>
        <v>0</v>
      </c>
    </row>
    <row r="90" spans="1:54" s="53" customFormat="1" ht="15.75" hidden="1" x14ac:dyDescent="0.25">
      <c r="A90" s="80"/>
      <c r="B90" s="52"/>
      <c r="C90" s="48">
        <v>920</v>
      </c>
      <c r="D90" s="42">
        <v>85392</v>
      </c>
      <c r="E90" s="45">
        <v>7059</v>
      </c>
      <c r="F90" s="45">
        <f>607958</f>
        <v>607958</v>
      </c>
      <c r="G90" s="45"/>
      <c r="H90" s="45"/>
      <c r="I90" s="45"/>
      <c r="J90" s="45">
        <v>11937</v>
      </c>
      <c r="K90" s="45"/>
      <c r="L90" s="45"/>
      <c r="M90" s="45"/>
      <c r="N90" s="45">
        <f>-623-22397</f>
        <v>-23020</v>
      </c>
      <c r="O90" s="45"/>
      <c r="P90" s="45">
        <v>-2550</v>
      </c>
      <c r="Q90" s="45"/>
      <c r="R90" s="119"/>
      <c r="S90" s="45"/>
      <c r="T90" s="45"/>
      <c r="U90" s="45"/>
      <c r="V90" s="42">
        <f t="shared" si="195"/>
        <v>686776</v>
      </c>
      <c r="W90" s="42">
        <v>14930</v>
      </c>
      <c r="X90" s="45"/>
      <c r="Y90" s="45">
        <f>28846</f>
        <v>28846</v>
      </c>
      <c r="Z90" s="45"/>
      <c r="AA90" s="45">
        <v>8169</v>
      </c>
      <c r="AB90" s="45"/>
      <c r="AC90" s="45"/>
      <c r="AD90" s="45"/>
      <c r="AE90" s="45"/>
      <c r="AF90" s="119"/>
      <c r="AG90" s="45"/>
      <c r="AH90" s="45"/>
      <c r="AI90" s="45"/>
      <c r="AJ90" s="45"/>
      <c r="AK90" s="45"/>
      <c r="AL90" s="42">
        <f t="shared" si="196"/>
        <v>51945</v>
      </c>
      <c r="AM90" s="42">
        <v>11646</v>
      </c>
      <c r="AN90" s="42"/>
      <c r="AO90" s="42"/>
      <c r="AP90" s="42"/>
      <c r="AQ90" s="42"/>
      <c r="AR90" s="42"/>
      <c r="AS90" s="42"/>
      <c r="AT90" s="42"/>
      <c r="AU90" s="118"/>
      <c r="AV90" s="42"/>
      <c r="AW90" s="42"/>
      <c r="AX90" s="42"/>
      <c r="AY90" s="42"/>
      <c r="AZ90" s="42"/>
      <c r="BA90" s="42"/>
      <c r="BB90" s="42">
        <f t="shared" si="197"/>
        <v>11646</v>
      </c>
    </row>
    <row r="91" spans="1:54" s="19" customFormat="1" ht="31.5" hidden="1" x14ac:dyDescent="0.25">
      <c r="A91" s="78" t="s">
        <v>28</v>
      </c>
      <c r="B91" s="113" t="s">
        <v>53</v>
      </c>
      <c r="C91" s="114" t="s">
        <v>73</v>
      </c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>
        <f>SUM(D91:U91)</f>
        <v>0</v>
      </c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  <c r="AJ91" s="115"/>
      <c r="AK91" s="115"/>
      <c r="AL91" s="115">
        <f t="shared" si="193"/>
        <v>0</v>
      </c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>
        <f t="shared" ref="BB91:BB92" si="198">SUM(AM91:BA91)</f>
        <v>0</v>
      </c>
    </row>
    <row r="92" spans="1:54" s="19" customFormat="1" ht="31.5" x14ac:dyDescent="0.25">
      <c r="A92" s="78" t="s">
        <v>58</v>
      </c>
      <c r="B92" s="33" t="s">
        <v>53</v>
      </c>
      <c r="C92" s="34" t="s">
        <v>104</v>
      </c>
      <c r="D92" s="13">
        <v>1062</v>
      </c>
      <c r="E92" s="13"/>
      <c r="F92" s="13"/>
      <c r="G92" s="13"/>
      <c r="H92" s="13"/>
      <c r="I92" s="13"/>
      <c r="J92" s="13"/>
      <c r="K92" s="13"/>
      <c r="L92" s="13"/>
      <c r="M92" s="13"/>
      <c r="N92" s="13">
        <v>-315</v>
      </c>
      <c r="O92" s="13"/>
      <c r="P92" s="13"/>
      <c r="Q92" s="13"/>
      <c r="R92" s="115"/>
      <c r="S92" s="13"/>
      <c r="T92" s="13"/>
      <c r="U92" s="13"/>
      <c r="V92" s="13">
        <f>SUM(D92:U92)</f>
        <v>747</v>
      </c>
      <c r="W92" s="13">
        <v>1062</v>
      </c>
      <c r="X92" s="13"/>
      <c r="Y92" s="13"/>
      <c r="Z92" s="13"/>
      <c r="AA92" s="13"/>
      <c r="AB92" s="13"/>
      <c r="AC92" s="13"/>
      <c r="AD92" s="13"/>
      <c r="AE92" s="13"/>
      <c r="AF92" s="115"/>
      <c r="AG92" s="13"/>
      <c r="AH92" s="13"/>
      <c r="AI92" s="13"/>
      <c r="AJ92" s="13"/>
      <c r="AK92" s="13"/>
      <c r="AL92" s="13">
        <f t="shared" si="193"/>
        <v>1062</v>
      </c>
      <c r="AM92" s="13">
        <v>1062</v>
      </c>
      <c r="AN92" s="13"/>
      <c r="AO92" s="13"/>
      <c r="AP92" s="13"/>
      <c r="AQ92" s="13"/>
      <c r="AR92" s="13"/>
      <c r="AS92" s="13"/>
      <c r="AT92" s="13"/>
      <c r="AU92" s="115"/>
      <c r="AV92" s="13"/>
      <c r="AW92" s="13"/>
      <c r="AX92" s="13"/>
      <c r="AY92" s="13"/>
      <c r="AZ92" s="13"/>
      <c r="BA92" s="13"/>
      <c r="BB92" s="13">
        <f t="shared" si="198"/>
        <v>1062</v>
      </c>
    </row>
    <row r="93" spans="1:54" s="19" customFormat="1" ht="54.75" customHeight="1" x14ac:dyDescent="0.25">
      <c r="A93" s="78" t="s">
        <v>29</v>
      </c>
      <c r="B93" s="33" t="s">
        <v>54</v>
      </c>
      <c r="C93" s="97" t="s">
        <v>71</v>
      </c>
      <c r="D93" s="35">
        <f>SUM(D94:D97)</f>
        <v>23500</v>
      </c>
      <c r="E93" s="35">
        <f t="shared" ref="E93:BB93" si="199">SUM(E94:E97)</f>
        <v>1685</v>
      </c>
      <c r="F93" s="35">
        <f t="shared" si="199"/>
        <v>250</v>
      </c>
      <c r="G93" s="35">
        <f t="shared" si="199"/>
        <v>0</v>
      </c>
      <c r="H93" s="35">
        <f t="shared" si="199"/>
        <v>0</v>
      </c>
      <c r="I93" s="35">
        <f t="shared" si="199"/>
        <v>0</v>
      </c>
      <c r="J93" s="35">
        <f t="shared" si="199"/>
        <v>32915</v>
      </c>
      <c r="K93" s="35">
        <f t="shared" si="199"/>
        <v>330</v>
      </c>
      <c r="L93" s="35">
        <f t="shared" si="199"/>
        <v>0</v>
      </c>
      <c r="M93" s="35">
        <f t="shared" ref="M93:T93" si="200">SUM(M94:M97)</f>
        <v>2528</v>
      </c>
      <c r="N93" s="35">
        <f t="shared" si="200"/>
        <v>1448</v>
      </c>
      <c r="O93" s="35">
        <f t="shared" ref="O93:P93" si="201">SUM(O94:O97)</f>
        <v>40000</v>
      </c>
      <c r="P93" s="35">
        <f t="shared" si="201"/>
        <v>0</v>
      </c>
      <c r="Q93" s="35">
        <f t="shared" si="200"/>
        <v>6157</v>
      </c>
      <c r="R93" s="117">
        <f t="shared" si="200"/>
        <v>0</v>
      </c>
      <c r="S93" s="35">
        <f t="shared" si="200"/>
        <v>0</v>
      </c>
      <c r="T93" s="35">
        <f t="shared" si="200"/>
        <v>0</v>
      </c>
      <c r="U93" s="35">
        <f t="shared" si="199"/>
        <v>0</v>
      </c>
      <c r="V93" s="35">
        <f t="shared" si="199"/>
        <v>108813</v>
      </c>
      <c r="W93" s="35">
        <f t="shared" si="199"/>
        <v>23533</v>
      </c>
      <c r="X93" s="35">
        <f t="shared" si="199"/>
        <v>0</v>
      </c>
      <c r="Y93" s="35">
        <f t="shared" si="199"/>
        <v>0</v>
      </c>
      <c r="Z93" s="35">
        <f t="shared" si="199"/>
        <v>0</v>
      </c>
      <c r="AA93" s="35">
        <f t="shared" si="199"/>
        <v>0</v>
      </c>
      <c r="AB93" s="35">
        <f t="shared" si="199"/>
        <v>0</v>
      </c>
      <c r="AC93" s="35">
        <f t="shared" si="199"/>
        <v>0</v>
      </c>
      <c r="AD93" s="35">
        <f t="shared" ref="AD93:AI93" si="202">SUM(AD94:AD97)</f>
        <v>0</v>
      </c>
      <c r="AE93" s="35">
        <f t="shared" ref="AE93" si="203">SUM(AE94:AE97)</f>
        <v>0</v>
      </c>
      <c r="AF93" s="117">
        <f t="shared" si="202"/>
        <v>0</v>
      </c>
      <c r="AG93" s="35">
        <f t="shared" si="202"/>
        <v>0</v>
      </c>
      <c r="AH93" s="35">
        <f t="shared" si="202"/>
        <v>0</v>
      </c>
      <c r="AI93" s="35">
        <f t="shared" si="202"/>
        <v>0</v>
      </c>
      <c r="AJ93" s="35">
        <f t="shared" si="199"/>
        <v>0</v>
      </c>
      <c r="AK93" s="35">
        <f t="shared" si="199"/>
        <v>0</v>
      </c>
      <c r="AL93" s="35">
        <f t="shared" si="199"/>
        <v>23533</v>
      </c>
      <c r="AM93" s="35">
        <f t="shared" si="199"/>
        <v>23500</v>
      </c>
      <c r="AN93" s="35">
        <f t="shared" si="199"/>
        <v>0</v>
      </c>
      <c r="AO93" s="35">
        <f t="shared" si="199"/>
        <v>0</v>
      </c>
      <c r="AP93" s="35">
        <f t="shared" si="199"/>
        <v>0</v>
      </c>
      <c r="AQ93" s="35">
        <f t="shared" si="199"/>
        <v>0</v>
      </c>
      <c r="AR93" s="35">
        <f t="shared" si="199"/>
        <v>0</v>
      </c>
      <c r="AS93" s="35">
        <f t="shared" si="199"/>
        <v>0</v>
      </c>
      <c r="AT93" s="35">
        <f t="shared" ref="AT93:AY93" si="204">SUM(AT94:AT97)</f>
        <v>0</v>
      </c>
      <c r="AU93" s="117">
        <f t="shared" si="204"/>
        <v>0</v>
      </c>
      <c r="AV93" s="35">
        <f t="shared" si="204"/>
        <v>0</v>
      </c>
      <c r="AW93" s="35">
        <f t="shared" si="204"/>
        <v>0</v>
      </c>
      <c r="AX93" s="35">
        <f t="shared" si="204"/>
        <v>0</v>
      </c>
      <c r="AY93" s="35">
        <f t="shared" si="204"/>
        <v>0</v>
      </c>
      <c r="AZ93" s="35">
        <f t="shared" si="199"/>
        <v>0</v>
      </c>
      <c r="BA93" s="35">
        <f t="shared" si="199"/>
        <v>0</v>
      </c>
      <c r="BB93" s="35">
        <f t="shared" si="199"/>
        <v>23500</v>
      </c>
    </row>
    <row r="94" spans="1:54" s="53" customFormat="1" ht="15.75" hidden="1" x14ac:dyDescent="0.25">
      <c r="A94" s="80"/>
      <c r="B94" s="52"/>
      <c r="C94" s="48">
        <v>906</v>
      </c>
      <c r="D94" s="42">
        <v>2000</v>
      </c>
      <c r="E94" s="45"/>
      <c r="F94" s="45"/>
      <c r="G94" s="45"/>
      <c r="H94" s="45"/>
      <c r="I94" s="45"/>
      <c r="J94" s="45"/>
      <c r="K94" s="45">
        <v>330</v>
      </c>
      <c r="L94" s="45"/>
      <c r="M94" s="45"/>
      <c r="N94" s="45"/>
      <c r="O94" s="45"/>
      <c r="P94" s="45"/>
      <c r="Q94" s="45"/>
      <c r="R94" s="119"/>
      <c r="S94" s="45"/>
      <c r="T94" s="45"/>
      <c r="U94" s="45"/>
      <c r="V94" s="42">
        <f t="shared" ref="V94:V106" si="205">SUM(D94:U94)</f>
        <v>2330</v>
      </c>
      <c r="W94" s="42">
        <v>2000</v>
      </c>
      <c r="X94" s="45"/>
      <c r="Y94" s="45"/>
      <c r="Z94" s="45"/>
      <c r="AA94" s="45"/>
      <c r="AB94" s="45"/>
      <c r="AC94" s="45"/>
      <c r="AD94" s="45"/>
      <c r="AE94" s="45"/>
      <c r="AF94" s="119"/>
      <c r="AG94" s="45"/>
      <c r="AH94" s="45"/>
      <c r="AI94" s="45"/>
      <c r="AJ94" s="45"/>
      <c r="AK94" s="45"/>
      <c r="AL94" s="42">
        <f t="shared" ref="AL94:AL101" si="206">SUM(W94:AK94)</f>
        <v>2000</v>
      </c>
      <c r="AM94" s="42">
        <v>2000</v>
      </c>
      <c r="AN94" s="45"/>
      <c r="AO94" s="45"/>
      <c r="AP94" s="45"/>
      <c r="AQ94" s="45"/>
      <c r="AR94" s="45"/>
      <c r="AS94" s="45"/>
      <c r="AT94" s="45"/>
      <c r="AU94" s="119"/>
      <c r="AV94" s="45"/>
      <c r="AW94" s="45"/>
      <c r="AX94" s="45"/>
      <c r="AY94" s="45"/>
      <c r="AZ94" s="45"/>
      <c r="BA94" s="45"/>
      <c r="BB94" s="42">
        <f t="shared" ref="BB94:BB97" si="207">SUM(AM94:BA94)</f>
        <v>2000</v>
      </c>
    </row>
    <row r="95" spans="1:54" s="53" customFormat="1" ht="15.75" hidden="1" x14ac:dyDescent="0.25">
      <c r="A95" s="80"/>
      <c r="B95" s="52"/>
      <c r="C95" s="48">
        <v>917</v>
      </c>
      <c r="D95" s="42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119"/>
      <c r="S95" s="45"/>
      <c r="T95" s="45"/>
      <c r="U95" s="45"/>
      <c r="V95" s="42">
        <f t="shared" si="205"/>
        <v>0</v>
      </c>
      <c r="W95" s="42"/>
      <c r="X95" s="45"/>
      <c r="Y95" s="45"/>
      <c r="Z95" s="45"/>
      <c r="AA95" s="45"/>
      <c r="AB95" s="45"/>
      <c r="AC95" s="45"/>
      <c r="AD95" s="45"/>
      <c r="AE95" s="45"/>
      <c r="AF95" s="119"/>
      <c r="AG95" s="45"/>
      <c r="AH95" s="45"/>
      <c r="AI95" s="45"/>
      <c r="AJ95" s="45"/>
      <c r="AK95" s="45"/>
      <c r="AL95" s="42">
        <f t="shared" si="206"/>
        <v>0</v>
      </c>
      <c r="AM95" s="42"/>
      <c r="AN95" s="45"/>
      <c r="AO95" s="45"/>
      <c r="AP95" s="45"/>
      <c r="AQ95" s="45"/>
      <c r="AR95" s="45"/>
      <c r="AS95" s="45"/>
      <c r="AT95" s="45"/>
      <c r="AU95" s="119"/>
      <c r="AV95" s="45"/>
      <c r="AW95" s="45"/>
      <c r="AX95" s="45"/>
      <c r="AY95" s="45"/>
      <c r="AZ95" s="45"/>
      <c r="BA95" s="45"/>
      <c r="BB95" s="42">
        <f t="shared" si="207"/>
        <v>0</v>
      </c>
    </row>
    <row r="96" spans="1:54" s="53" customFormat="1" ht="15.75" hidden="1" x14ac:dyDescent="0.25">
      <c r="A96" s="80"/>
      <c r="B96" s="52"/>
      <c r="C96" s="48">
        <v>920</v>
      </c>
      <c r="D96" s="42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119"/>
      <c r="S96" s="45"/>
      <c r="T96" s="45"/>
      <c r="U96" s="45"/>
      <c r="V96" s="42">
        <f t="shared" ref="V96" si="208">SUM(D96:U96)</f>
        <v>0</v>
      </c>
      <c r="W96" s="42"/>
      <c r="X96" s="45"/>
      <c r="Y96" s="45"/>
      <c r="Z96" s="45"/>
      <c r="AA96" s="45"/>
      <c r="AB96" s="45"/>
      <c r="AC96" s="45"/>
      <c r="AD96" s="45"/>
      <c r="AE96" s="45"/>
      <c r="AF96" s="119"/>
      <c r="AG96" s="45"/>
      <c r="AH96" s="45"/>
      <c r="AI96" s="45"/>
      <c r="AJ96" s="45"/>
      <c r="AK96" s="45"/>
      <c r="AL96" s="42">
        <f t="shared" si="206"/>
        <v>0</v>
      </c>
      <c r="AM96" s="42"/>
      <c r="AN96" s="45"/>
      <c r="AO96" s="45"/>
      <c r="AP96" s="45"/>
      <c r="AQ96" s="45"/>
      <c r="AR96" s="45"/>
      <c r="AS96" s="45"/>
      <c r="AT96" s="45"/>
      <c r="AU96" s="119"/>
      <c r="AV96" s="45"/>
      <c r="AW96" s="45"/>
      <c r="AX96" s="45"/>
      <c r="AY96" s="45"/>
      <c r="AZ96" s="45"/>
      <c r="BA96" s="45"/>
      <c r="BB96" s="42">
        <f t="shared" ref="BB96" si="209">SUM(AM96:BA96)</f>
        <v>0</v>
      </c>
    </row>
    <row r="97" spans="1:54" s="53" customFormat="1" ht="15.75" hidden="1" x14ac:dyDescent="0.25">
      <c r="A97" s="80"/>
      <c r="B97" s="52"/>
      <c r="C97" s="48">
        <v>924</v>
      </c>
      <c r="D97" s="42">
        <v>21500</v>
      </c>
      <c r="E97" s="45">
        <v>1685</v>
      </c>
      <c r="F97" s="45">
        <f>250</f>
        <v>250</v>
      </c>
      <c r="G97" s="45"/>
      <c r="H97" s="45"/>
      <c r="I97" s="45"/>
      <c r="J97" s="45">
        <f>238+32677</f>
        <v>32915</v>
      </c>
      <c r="K97" s="45"/>
      <c r="L97" s="45"/>
      <c r="M97" s="45">
        <v>2528</v>
      </c>
      <c r="N97" s="45">
        <f>-341-55+1844</f>
        <v>1448</v>
      </c>
      <c r="O97" s="45">
        <v>40000</v>
      </c>
      <c r="P97" s="45"/>
      <c r="Q97" s="45">
        <f>-2-197-320-10+2000+4686</f>
        <v>6157</v>
      </c>
      <c r="R97" s="119"/>
      <c r="S97" s="45"/>
      <c r="T97" s="45"/>
      <c r="U97" s="45"/>
      <c r="V97" s="42">
        <f t="shared" si="205"/>
        <v>106483</v>
      </c>
      <c r="W97" s="42">
        <v>21533</v>
      </c>
      <c r="X97" s="45"/>
      <c r="Y97" s="45"/>
      <c r="Z97" s="45"/>
      <c r="AA97" s="45"/>
      <c r="AB97" s="45"/>
      <c r="AC97" s="45"/>
      <c r="AD97" s="45"/>
      <c r="AE97" s="45"/>
      <c r="AF97" s="119"/>
      <c r="AG97" s="45"/>
      <c r="AH97" s="45"/>
      <c r="AI97" s="45"/>
      <c r="AJ97" s="45"/>
      <c r="AK97" s="45"/>
      <c r="AL97" s="42">
        <f t="shared" si="206"/>
        <v>21533</v>
      </c>
      <c r="AM97" s="42">
        <v>21500</v>
      </c>
      <c r="AN97" s="42"/>
      <c r="AO97" s="42"/>
      <c r="AP97" s="42"/>
      <c r="AQ97" s="42"/>
      <c r="AR97" s="42"/>
      <c r="AS97" s="42"/>
      <c r="AT97" s="42"/>
      <c r="AU97" s="118"/>
      <c r="AV97" s="42"/>
      <c r="AW97" s="42"/>
      <c r="AX97" s="42"/>
      <c r="AY97" s="42"/>
      <c r="AZ97" s="42"/>
      <c r="BA97" s="42"/>
      <c r="BB97" s="42">
        <f t="shared" si="207"/>
        <v>21500</v>
      </c>
    </row>
    <row r="98" spans="1:54" s="19" customFormat="1" ht="31.5" x14ac:dyDescent="0.25">
      <c r="A98" s="78" t="s">
        <v>30</v>
      </c>
      <c r="B98" s="33" t="s">
        <v>55</v>
      </c>
      <c r="C98" s="94" t="s">
        <v>105</v>
      </c>
      <c r="D98" s="35">
        <f>SUM(D99:D100)</f>
        <v>19010</v>
      </c>
      <c r="E98" s="35">
        <f t="shared" ref="E98:BB98" si="210">SUM(E99:E100)</f>
        <v>0</v>
      </c>
      <c r="F98" s="35">
        <f t="shared" si="210"/>
        <v>0</v>
      </c>
      <c r="G98" s="35">
        <f t="shared" si="210"/>
        <v>0</v>
      </c>
      <c r="H98" s="35">
        <f t="shared" si="210"/>
        <v>0</v>
      </c>
      <c r="I98" s="35">
        <f t="shared" si="210"/>
        <v>0</v>
      </c>
      <c r="J98" s="35">
        <f t="shared" si="210"/>
        <v>11950</v>
      </c>
      <c r="K98" s="35">
        <f t="shared" si="210"/>
        <v>0</v>
      </c>
      <c r="L98" s="35">
        <f t="shared" si="210"/>
        <v>0</v>
      </c>
      <c r="M98" s="35">
        <f t="shared" si="210"/>
        <v>0</v>
      </c>
      <c r="N98" s="35">
        <f t="shared" si="210"/>
        <v>-1785</v>
      </c>
      <c r="O98" s="35">
        <f t="shared" si="210"/>
        <v>0</v>
      </c>
      <c r="P98" s="35">
        <f t="shared" si="210"/>
        <v>0</v>
      </c>
      <c r="Q98" s="35">
        <f t="shared" si="210"/>
        <v>-470</v>
      </c>
      <c r="R98" s="117">
        <f t="shared" si="210"/>
        <v>0</v>
      </c>
      <c r="S98" s="35">
        <f t="shared" si="210"/>
        <v>0</v>
      </c>
      <c r="T98" s="35">
        <f t="shared" si="210"/>
        <v>0</v>
      </c>
      <c r="U98" s="35">
        <f t="shared" si="210"/>
        <v>0</v>
      </c>
      <c r="V98" s="35">
        <f t="shared" si="210"/>
        <v>28705</v>
      </c>
      <c r="W98" s="35">
        <f t="shared" si="210"/>
        <v>6320</v>
      </c>
      <c r="X98" s="35">
        <f t="shared" si="210"/>
        <v>0</v>
      </c>
      <c r="Y98" s="35">
        <f t="shared" si="210"/>
        <v>0</v>
      </c>
      <c r="Z98" s="35">
        <f t="shared" si="210"/>
        <v>0</v>
      </c>
      <c r="AA98" s="35">
        <f t="shared" si="210"/>
        <v>0</v>
      </c>
      <c r="AB98" s="35">
        <f t="shared" si="210"/>
        <v>0</v>
      </c>
      <c r="AC98" s="35">
        <f t="shared" si="210"/>
        <v>0</v>
      </c>
      <c r="AD98" s="35">
        <f t="shared" si="210"/>
        <v>0</v>
      </c>
      <c r="AE98" s="35">
        <f t="shared" si="210"/>
        <v>0</v>
      </c>
      <c r="AF98" s="117">
        <f t="shared" si="210"/>
        <v>0</v>
      </c>
      <c r="AG98" s="35">
        <f t="shared" si="210"/>
        <v>0</v>
      </c>
      <c r="AH98" s="35">
        <f t="shared" si="210"/>
        <v>0</v>
      </c>
      <c r="AI98" s="35">
        <f t="shared" si="210"/>
        <v>0</v>
      </c>
      <c r="AJ98" s="35">
        <f t="shared" si="210"/>
        <v>0</v>
      </c>
      <c r="AK98" s="35">
        <f t="shared" si="210"/>
        <v>0</v>
      </c>
      <c r="AL98" s="35">
        <f t="shared" si="210"/>
        <v>6320</v>
      </c>
      <c r="AM98" s="35">
        <f t="shared" si="210"/>
        <v>22175</v>
      </c>
      <c r="AN98" s="35">
        <f t="shared" si="210"/>
        <v>0</v>
      </c>
      <c r="AO98" s="35">
        <f t="shared" si="210"/>
        <v>0</v>
      </c>
      <c r="AP98" s="35">
        <f t="shared" si="210"/>
        <v>0</v>
      </c>
      <c r="AQ98" s="35">
        <f t="shared" si="210"/>
        <v>0</v>
      </c>
      <c r="AR98" s="35">
        <f t="shared" si="210"/>
        <v>0</v>
      </c>
      <c r="AS98" s="35">
        <f t="shared" si="210"/>
        <v>0</v>
      </c>
      <c r="AT98" s="35">
        <f t="shared" si="210"/>
        <v>0</v>
      </c>
      <c r="AU98" s="117">
        <f t="shared" si="210"/>
        <v>0</v>
      </c>
      <c r="AV98" s="35">
        <f t="shared" si="210"/>
        <v>0</v>
      </c>
      <c r="AW98" s="35">
        <f t="shared" si="210"/>
        <v>0</v>
      </c>
      <c r="AX98" s="35">
        <f t="shared" si="210"/>
        <v>0</v>
      </c>
      <c r="AY98" s="35">
        <f t="shared" si="210"/>
        <v>0</v>
      </c>
      <c r="AZ98" s="35">
        <f t="shared" si="210"/>
        <v>0</v>
      </c>
      <c r="BA98" s="35">
        <f t="shared" si="210"/>
        <v>0</v>
      </c>
      <c r="BB98" s="35">
        <f t="shared" si="210"/>
        <v>22175</v>
      </c>
    </row>
    <row r="99" spans="1:54" s="53" customFormat="1" ht="15.75" hidden="1" x14ac:dyDescent="0.25">
      <c r="A99" s="80"/>
      <c r="B99" s="52"/>
      <c r="C99" s="48">
        <v>903</v>
      </c>
      <c r="D99" s="42"/>
      <c r="E99" s="45"/>
      <c r="F99" s="45"/>
      <c r="G99" s="45"/>
      <c r="H99" s="45"/>
      <c r="I99" s="45"/>
      <c r="J99" s="45"/>
      <c r="K99" s="45"/>
      <c r="L99" s="45"/>
      <c r="M99" s="45"/>
      <c r="N99" s="45">
        <v>7470</v>
      </c>
      <c r="O99" s="45"/>
      <c r="P99" s="45"/>
      <c r="Q99" s="45"/>
      <c r="R99" s="119"/>
      <c r="S99" s="45"/>
      <c r="T99" s="45"/>
      <c r="U99" s="45"/>
      <c r="V99" s="42">
        <f t="shared" ref="V99" si="211">SUM(D99:U99)</f>
        <v>7470</v>
      </c>
      <c r="W99" s="42"/>
      <c r="X99" s="45"/>
      <c r="Y99" s="45"/>
      <c r="Z99" s="45"/>
      <c r="AA99" s="45"/>
      <c r="AB99" s="45"/>
      <c r="AC99" s="45"/>
      <c r="AD99" s="45">
        <v>5528</v>
      </c>
      <c r="AE99" s="45"/>
      <c r="AF99" s="119"/>
      <c r="AG99" s="45"/>
      <c r="AH99" s="45"/>
      <c r="AI99" s="45"/>
      <c r="AJ99" s="45"/>
      <c r="AK99" s="45"/>
      <c r="AL99" s="42">
        <f t="shared" ref="AL99:AL100" si="212">SUM(W99:AK99)</f>
        <v>5528</v>
      </c>
      <c r="AM99" s="42"/>
      <c r="AN99" s="45"/>
      <c r="AO99" s="45"/>
      <c r="AP99" s="45"/>
      <c r="AQ99" s="45"/>
      <c r="AR99" s="45"/>
      <c r="AS99" s="45"/>
      <c r="AT99" s="45">
        <v>5528</v>
      </c>
      <c r="AU99" s="119"/>
      <c r="AV99" s="45"/>
      <c r="AW99" s="45"/>
      <c r="AX99" s="45"/>
      <c r="AY99" s="45"/>
      <c r="AZ99" s="45"/>
      <c r="BA99" s="45"/>
      <c r="BB99" s="42">
        <f t="shared" ref="BB99:BB100" si="213">SUM(AM99:BA99)</f>
        <v>5528</v>
      </c>
    </row>
    <row r="100" spans="1:54" s="53" customFormat="1" ht="15.75" hidden="1" x14ac:dyDescent="0.25">
      <c r="A100" s="80"/>
      <c r="B100" s="52"/>
      <c r="C100" s="48">
        <v>920</v>
      </c>
      <c r="D100" s="42">
        <v>19010</v>
      </c>
      <c r="E100" s="45"/>
      <c r="F100" s="45"/>
      <c r="G100" s="45"/>
      <c r="H100" s="45"/>
      <c r="I100" s="45"/>
      <c r="J100" s="45">
        <f t="shared" ref="J100" si="214">13950-2000</f>
        <v>11950</v>
      </c>
      <c r="K100" s="45"/>
      <c r="L100" s="45"/>
      <c r="M100" s="45"/>
      <c r="N100" s="45">
        <f t="shared" ref="N100" si="215">-7470-892-893</f>
        <v>-9255</v>
      </c>
      <c r="O100" s="45"/>
      <c r="P100" s="45"/>
      <c r="Q100" s="45">
        <f>-459-11</f>
        <v>-470</v>
      </c>
      <c r="R100" s="119"/>
      <c r="S100" s="45"/>
      <c r="T100" s="45"/>
      <c r="U100" s="45"/>
      <c r="V100" s="42">
        <f>SUM(D100:U100)</f>
        <v>21235</v>
      </c>
      <c r="W100" s="42">
        <v>6320</v>
      </c>
      <c r="X100" s="45"/>
      <c r="Y100" s="45"/>
      <c r="Z100" s="45"/>
      <c r="AA100" s="45"/>
      <c r="AB100" s="45"/>
      <c r="AC100" s="45"/>
      <c r="AD100" s="45">
        <f t="shared" ref="AD100" si="216">-5528</f>
        <v>-5528</v>
      </c>
      <c r="AE100" s="45"/>
      <c r="AF100" s="119"/>
      <c r="AG100" s="45"/>
      <c r="AH100" s="45"/>
      <c r="AI100" s="45"/>
      <c r="AJ100" s="45"/>
      <c r="AK100" s="45"/>
      <c r="AL100" s="42">
        <f t="shared" si="212"/>
        <v>792</v>
      </c>
      <c r="AM100" s="42">
        <v>22175</v>
      </c>
      <c r="AN100" s="45"/>
      <c r="AO100" s="45"/>
      <c r="AP100" s="45"/>
      <c r="AQ100" s="45"/>
      <c r="AR100" s="45"/>
      <c r="AS100" s="45"/>
      <c r="AT100" s="45">
        <f t="shared" ref="AT100" si="217">-5528</f>
        <v>-5528</v>
      </c>
      <c r="AU100" s="119"/>
      <c r="AV100" s="45"/>
      <c r="AW100" s="45"/>
      <c r="AX100" s="45"/>
      <c r="AY100" s="45"/>
      <c r="AZ100" s="45"/>
      <c r="BA100" s="45"/>
      <c r="BB100" s="42">
        <f t="shared" si="213"/>
        <v>16647</v>
      </c>
    </row>
    <row r="101" spans="1:54" s="19" customFormat="1" ht="31.5" x14ac:dyDescent="0.25">
      <c r="A101" s="78" t="s">
        <v>31</v>
      </c>
      <c r="B101" s="33" t="s">
        <v>56</v>
      </c>
      <c r="C101" s="94" t="s">
        <v>106</v>
      </c>
      <c r="D101" s="13">
        <v>437778</v>
      </c>
      <c r="E101" s="13"/>
      <c r="F101" s="13">
        <f>-5812+64</f>
        <v>-5748</v>
      </c>
      <c r="G101" s="13"/>
      <c r="H101" s="13"/>
      <c r="I101" s="13"/>
      <c r="J101" s="13">
        <v>3050</v>
      </c>
      <c r="K101" s="13">
        <v>52168</v>
      </c>
      <c r="L101" s="13">
        <v>6000</v>
      </c>
      <c r="M101" s="13"/>
      <c r="N101" s="13">
        <f>121936-25-25-140317</f>
        <v>-18431</v>
      </c>
      <c r="O101" s="13"/>
      <c r="P101" s="13">
        <v>-45795</v>
      </c>
      <c r="Q101" s="13">
        <f>126-126-2024</f>
        <v>-2024</v>
      </c>
      <c r="R101" s="115">
        <v>99823</v>
      </c>
      <c r="S101" s="13"/>
      <c r="T101" s="13"/>
      <c r="U101" s="13"/>
      <c r="V101" s="13">
        <f t="shared" si="205"/>
        <v>526821</v>
      </c>
      <c r="W101" s="13">
        <v>457973</v>
      </c>
      <c r="X101" s="13"/>
      <c r="Y101" s="13">
        <f>-10234</f>
        <v>-10234</v>
      </c>
      <c r="Z101" s="13"/>
      <c r="AA101" s="13"/>
      <c r="AB101" s="13"/>
      <c r="AC101" s="13"/>
      <c r="AD101" s="13">
        <f>38774-91851</f>
        <v>-53077</v>
      </c>
      <c r="AE101" s="13"/>
      <c r="AF101" s="115"/>
      <c r="AG101" s="13"/>
      <c r="AH101" s="13"/>
      <c r="AI101" s="13"/>
      <c r="AJ101" s="13"/>
      <c r="AK101" s="13"/>
      <c r="AL101" s="13">
        <f t="shared" si="206"/>
        <v>394662</v>
      </c>
      <c r="AM101" s="13">
        <v>464462</v>
      </c>
      <c r="AN101" s="13"/>
      <c r="AO101" s="13"/>
      <c r="AP101" s="13"/>
      <c r="AQ101" s="13"/>
      <c r="AR101" s="13"/>
      <c r="AS101" s="13"/>
      <c r="AT101" s="13">
        <f>95701-95701</f>
        <v>0</v>
      </c>
      <c r="AU101" s="115"/>
      <c r="AV101" s="13"/>
      <c r="AW101" s="13"/>
      <c r="AX101" s="13"/>
      <c r="AY101" s="13"/>
      <c r="AZ101" s="13"/>
      <c r="BA101" s="13"/>
      <c r="BB101" s="13">
        <f>SUM(AM101:BA101)</f>
        <v>464462</v>
      </c>
    </row>
    <row r="102" spans="1:54" s="19" customFormat="1" ht="33.75" customHeight="1" x14ac:dyDescent="0.25">
      <c r="A102" s="78" t="s">
        <v>32</v>
      </c>
      <c r="B102" s="33" t="s">
        <v>57</v>
      </c>
      <c r="C102" s="34" t="s">
        <v>3</v>
      </c>
      <c r="D102" s="35">
        <f>SUM(D103:D106)</f>
        <v>76424</v>
      </c>
      <c r="E102" s="35">
        <f t="shared" ref="E102:BB102" si="218">SUM(E103:E106)</f>
        <v>18250</v>
      </c>
      <c r="F102" s="35">
        <f t="shared" si="218"/>
        <v>1819</v>
      </c>
      <c r="G102" s="35">
        <f>SUM(G103:G106)</f>
        <v>128500</v>
      </c>
      <c r="H102" s="35">
        <f t="shared" si="218"/>
        <v>22306</v>
      </c>
      <c r="I102" s="35">
        <f t="shared" si="218"/>
        <v>0</v>
      </c>
      <c r="J102" s="35">
        <f t="shared" si="218"/>
        <v>48615</v>
      </c>
      <c r="K102" s="35">
        <f t="shared" si="218"/>
        <v>37598</v>
      </c>
      <c r="L102" s="35">
        <f t="shared" si="218"/>
        <v>16531</v>
      </c>
      <c r="M102" s="35">
        <f t="shared" ref="M102:T102" si="219">SUM(M103:M106)</f>
        <v>6075</v>
      </c>
      <c r="N102" s="35">
        <f t="shared" si="219"/>
        <v>7223</v>
      </c>
      <c r="O102" s="35">
        <f t="shared" ref="O102:P102" si="220">SUM(O103:O106)</f>
        <v>0</v>
      </c>
      <c r="P102" s="35">
        <f t="shared" si="220"/>
        <v>0</v>
      </c>
      <c r="Q102" s="35">
        <f t="shared" si="219"/>
        <v>-14939</v>
      </c>
      <c r="R102" s="117">
        <f t="shared" si="219"/>
        <v>0</v>
      </c>
      <c r="S102" s="35">
        <f t="shared" si="219"/>
        <v>0</v>
      </c>
      <c r="T102" s="35">
        <f t="shared" si="219"/>
        <v>0</v>
      </c>
      <c r="U102" s="35">
        <f t="shared" si="218"/>
        <v>0</v>
      </c>
      <c r="V102" s="35">
        <f t="shared" si="218"/>
        <v>348402</v>
      </c>
      <c r="W102" s="13">
        <f t="shared" si="218"/>
        <v>17882</v>
      </c>
      <c r="X102" s="35">
        <f t="shared" si="218"/>
        <v>0</v>
      </c>
      <c r="Y102" s="35">
        <f t="shared" si="218"/>
        <v>10234</v>
      </c>
      <c r="Z102" s="35">
        <f t="shared" si="218"/>
        <v>0</v>
      </c>
      <c r="AA102" s="35">
        <f t="shared" si="218"/>
        <v>13034</v>
      </c>
      <c r="AB102" s="35">
        <f t="shared" si="218"/>
        <v>0</v>
      </c>
      <c r="AC102" s="35">
        <f t="shared" si="218"/>
        <v>-10154</v>
      </c>
      <c r="AD102" s="35">
        <f t="shared" ref="AD102:AI102" si="221">SUM(AD103:AD106)</f>
        <v>0</v>
      </c>
      <c r="AE102" s="35">
        <f t="shared" ref="AE102" si="222">SUM(AE103:AE106)</f>
        <v>0</v>
      </c>
      <c r="AF102" s="117">
        <f t="shared" si="221"/>
        <v>0</v>
      </c>
      <c r="AG102" s="35">
        <f t="shared" si="221"/>
        <v>0</v>
      </c>
      <c r="AH102" s="35">
        <f t="shared" si="221"/>
        <v>0</v>
      </c>
      <c r="AI102" s="35">
        <f t="shared" si="221"/>
        <v>0</v>
      </c>
      <c r="AJ102" s="35">
        <f t="shared" si="218"/>
        <v>0</v>
      </c>
      <c r="AK102" s="35">
        <f t="shared" si="218"/>
        <v>0</v>
      </c>
      <c r="AL102" s="13">
        <f>SUM(AL103:AL106)</f>
        <v>30996</v>
      </c>
      <c r="AM102" s="35">
        <f t="shared" si="218"/>
        <v>0</v>
      </c>
      <c r="AN102" s="35">
        <f t="shared" si="218"/>
        <v>0</v>
      </c>
      <c r="AO102" s="35">
        <f t="shared" si="218"/>
        <v>0</v>
      </c>
      <c r="AP102" s="35">
        <f t="shared" si="218"/>
        <v>0</v>
      </c>
      <c r="AQ102" s="35">
        <f t="shared" si="218"/>
        <v>0</v>
      </c>
      <c r="AR102" s="35">
        <f t="shared" si="218"/>
        <v>0</v>
      </c>
      <c r="AS102" s="35">
        <f t="shared" si="218"/>
        <v>0</v>
      </c>
      <c r="AT102" s="35">
        <f t="shared" ref="AT102:AY102" si="223">SUM(AT103:AT106)</f>
        <v>0</v>
      </c>
      <c r="AU102" s="117">
        <f t="shared" si="223"/>
        <v>0</v>
      </c>
      <c r="AV102" s="35">
        <f t="shared" si="223"/>
        <v>0</v>
      </c>
      <c r="AW102" s="35">
        <f t="shared" si="223"/>
        <v>0</v>
      </c>
      <c r="AX102" s="35">
        <f t="shared" si="223"/>
        <v>0</v>
      </c>
      <c r="AY102" s="35">
        <f t="shared" si="223"/>
        <v>0</v>
      </c>
      <c r="AZ102" s="35">
        <f t="shared" si="218"/>
        <v>0</v>
      </c>
      <c r="BA102" s="35">
        <f t="shared" si="218"/>
        <v>0</v>
      </c>
      <c r="BB102" s="35">
        <f t="shared" si="218"/>
        <v>0</v>
      </c>
    </row>
    <row r="103" spans="1:54" s="53" customFormat="1" ht="15.75" hidden="1" x14ac:dyDescent="0.25">
      <c r="A103" s="80"/>
      <c r="B103" s="52"/>
      <c r="C103" s="48">
        <v>912</v>
      </c>
      <c r="D103" s="42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119"/>
      <c r="S103" s="45"/>
      <c r="T103" s="45"/>
      <c r="U103" s="45"/>
      <c r="V103" s="42">
        <f t="shared" si="205"/>
        <v>0</v>
      </c>
      <c r="W103" s="49"/>
      <c r="X103" s="45"/>
      <c r="Y103" s="45"/>
      <c r="Z103" s="45"/>
      <c r="AA103" s="45"/>
      <c r="AB103" s="45"/>
      <c r="AC103" s="45"/>
      <c r="AD103" s="45"/>
      <c r="AE103" s="45"/>
      <c r="AF103" s="119"/>
      <c r="AG103" s="45"/>
      <c r="AH103" s="45"/>
      <c r="AI103" s="45"/>
      <c r="AJ103" s="45"/>
      <c r="AK103" s="45"/>
      <c r="AL103" s="49">
        <f>SUM(W103:AK103)</f>
        <v>0</v>
      </c>
      <c r="AM103" s="42"/>
      <c r="AN103" s="45"/>
      <c r="AO103" s="45"/>
      <c r="AP103" s="45"/>
      <c r="AQ103" s="45"/>
      <c r="AR103" s="45"/>
      <c r="AS103" s="45"/>
      <c r="AT103" s="45"/>
      <c r="AU103" s="119"/>
      <c r="AV103" s="45"/>
      <c r="AW103" s="45"/>
      <c r="AX103" s="45"/>
      <c r="AY103" s="45"/>
      <c r="AZ103" s="45"/>
      <c r="BA103" s="45"/>
      <c r="BB103" s="42">
        <f t="shared" ref="BB103:BB106" si="224">SUM(AM103:BA103)</f>
        <v>0</v>
      </c>
    </row>
    <row r="104" spans="1:54" s="53" customFormat="1" ht="15.75" hidden="1" x14ac:dyDescent="0.25">
      <c r="A104" s="80"/>
      <c r="B104" s="52"/>
      <c r="C104" s="48">
        <v>913</v>
      </c>
      <c r="D104" s="42"/>
      <c r="E104" s="45">
        <f>689+1134+2964+213</f>
        <v>5000</v>
      </c>
      <c r="F104" s="45"/>
      <c r="G104" s="45">
        <v>6000</v>
      </c>
      <c r="H104" s="45">
        <v>18558</v>
      </c>
      <c r="I104" s="45"/>
      <c r="J104" s="45"/>
      <c r="K104" s="45"/>
      <c r="L104" s="45"/>
      <c r="M104" s="45"/>
      <c r="N104" s="45">
        <f>-1657-2493-177</f>
        <v>-4327</v>
      </c>
      <c r="O104" s="45"/>
      <c r="P104" s="45"/>
      <c r="Q104" s="45">
        <f>-158</f>
        <v>-158</v>
      </c>
      <c r="R104" s="119"/>
      <c r="S104" s="45"/>
      <c r="T104" s="45"/>
      <c r="U104" s="45"/>
      <c r="V104" s="42">
        <f t="shared" si="205"/>
        <v>25073</v>
      </c>
      <c r="W104" s="49"/>
      <c r="X104" s="45"/>
      <c r="Y104" s="45"/>
      <c r="Z104" s="45"/>
      <c r="AA104" s="45"/>
      <c r="AB104" s="45"/>
      <c r="AC104" s="45"/>
      <c r="AD104" s="45"/>
      <c r="AE104" s="45"/>
      <c r="AF104" s="119"/>
      <c r="AG104" s="45"/>
      <c r="AH104" s="45"/>
      <c r="AI104" s="45"/>
      <c r="AJ104" s="45"/>
      <c r="AK104" s="45"/>
      <c r="AL104" s="49">
        <f>SUM(W104:AK104)</f>
        <v>0</v>
      </c>
      <c r="AM104" s="42"/>
      <c r="AN104" s="45"/>
      <c r="AO104" s="45"/>
      <c r="AP104" s="45"/>
      <c r="AQ104" s="45"/>
      <c r="AR104" s="45"/>
      <c r="AS104" s="45"/>
      <c r="AT104" s="45"/>
      <c r="AU104" s="119"/>
      <c r="AV104" s="45"/>
      <c r="AW104" s="45"/>
      <c r="AX104" s="45"/>
      <c r="AY104" s="45"/>
      <c r="AZ104" s="45"/>
      <c r="BA104" s="45"/>
      <c r="BB104" s="42">
        <f t="shared" si="224"/>
        <v>0</v>
      </c>
    </row>
    <row r="105" spans="1:54" s="53" customFormat="1" ht="15.75" hidden="1" x14ac:dyDescent="0.25">
      <c r="A105" s="80"/>
      <c r="B105" s="52"/>
      <c r="C105" s="48">
        <v>914</v>
      </c>
      <c r="D105" s="42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5"/>
      <c r="R105" s="119"/>
      <c r="S105" s="45"/>
      <c r="T105" s="45"/>
      <c r="U105" s="45"/>
      <c r="V105" s="42">
        <f t="shared" si="205"/>
        <v>0</v>
      </c>
      <c r="W105" s="49"/>
      <c r="X105" s="45"/>
      <c r="Y105" s="45"/>
      <c r="Z105" s="45"/>
      <c r="AA105" s="45"/>
      <c r="AB105" s="45"/>
      <c r="AC105" s="45"/>
      <c r="AD105" s="45"/>
      <c r="AE105" s="45"/>
      <c r="AF105" s="119"/>
      <c r="AG105" s="45"/>
      <c r="AH105" s="45"/>
      <c r="AI105" s="45"/>
      <c r="AJ105" s="45"/>
      <c r="AK105" s="45"/>
      <c r="AL105" s="49">
        <f>SUM(W105:AK105)</f>
        <v>0</v>
      </c>
      <c r="AM105" s="42"/>
      <c r="AN105" s="45"/>
      <c r="AO105" s="45"/>
      <c r="AP105" s="45"/>
      <c r="AQ105" s="45"/>
      <c r="AR105" s="45"/>
      <c r="AS105" s="45"/>
      <c r="AT105" s="45"/>
      <c r="AU105" s="119"/>
      <c r="AV105" s="45"/>
      <c r="AW105" s="45"/>
      <c r="AX105" s="45"/>
      <c r="AY105" s="45"/>
      <c r="AZ105" s="45"/>
      <c r="BA105" s="45"/>
      <c r="BB105" s="42">
        <f t="shared" si="224"/>
        <v>0</v>
      </c>
    </row>
    <row r="106" spans="1:54" s="53" customFormat="1" ht="15.75" hidden="1" x14ac:dyDescent="0.25">
      <c r="A106" s="80"/>
      <c r="B106" s="52"/>
      <c r="C106" s="48">
        <v>920</v>
      </c>
      <c r="D106" s="42">
        <v>76424</v>
      </c>
      <c r="E106" s="45">
        <f>8250+5000</f>
        <v>13250</v>
      </c>
      <c r="F106" s="45">
        <f>1819</f>
        <v>1819</v>
      </c>
      <c r="G106" s="45">
        <f>130000-7500</f>
        <v>122500</v>
      </c>
      <c r="H106" s="45">
        <v>3748</v>
      </c>
      <c r="I106" s="45"/>
      <c r="J106" s="45">
        <v>48615</v>
      </c>
      <c r="K106" s="45">
        <f>13898+17500+500+500+5200</f>
        <v>37598</v>
      </c>
      <c r="L106" s="45">
        <v>16531</v>
      </c>
      <c r="M106" s="45">
        <v>6075</v>
      </c>
      <c r="N106" s="45">
        <f>14498-2948</f>
        <v>11550</v>
      </c>
      <c r="O106" s="45"/>
      <c r="P106" s="45"/>
      <c r="Q106" s="45">
        <f>-844-530-13407</f>
        <v>-14781</v>
      </c>
      <c r="R106" s="119"/>
      <c r="S106" s="45"/>
      <c r="T106" s="45"/>
      <c r="U106" s="45"/>
      <c r="V106" s="42">
        <f t="shared" si="205"/>
        <v>323329</v>
      </c>
      <c r="W106" s="45">
        <v>17882</v>
      </c>
      <c r="X106" s="45"/>
      <c r="Y106" s="45">
        <v>10234</v>
      </c>
      <c r="Z106" s="45"/>
      <c r="AA106" s="45">
        <f>13034</f>
        <v>13034</v>
      </c>
      <c r="AB106" s="45"/>
      <c r="AC106" s="45">
        <v>-10154</v>
      </c>
      <c r="AD106" s="45"/>
      <c r="AE106" s="45"/>
      <c r="AF106" s="119"/>
      <c r="AG106" s="45"/>
      <c r="AH106" s="45"/>
      <c r="AI106" s="45"/>
      <c r="AJ106" s="45"/>
      <c r="AK106" s="45"/>
      <c r="AL106" s="45">
        <f>SUM(W106:AK106)</f>
        <v>30996</v>
      </c>
      <c r="AM106" s="42"/>
      <c r="AN106" s="45"/>
      <c r="AO106" s="45"/>
      <c r="AP106" s="45"/>
      <c r="AQ106" s="45"/>
      <c r="AR106" s="45"/>
      <c r="AS106" s="45"/>
      <c r="AT106" s="45"/>
      <c r="AU106" s="119"/>
      <c r="AV106" s="45"/>
      <c r="AW106" s="45"/>
      <c r="AX106" s="45"/>
      <c r="AY106" s="45"/>
      <c r="AZ106" s="45"/>
      <c r="BA106" s="45"/>
      <c r="BB106" s="42">
        <f t="shared" si="224"/>
        <v>0</v>
      </c>
    </row>
    <row r="107" spans="1:54" s="19" customFormat="1" ht="31.5" x14ac:dyDescent="0.25">
      <c r="A107" s="78" t="s">
        <v>60</v>
      </c>
      <c r="B107" s="33" t="s">
        <v>108</v>
      </c>
      <c r="C107" s="34" t="s">
        <v>116</v>
      </c>
      <c r="D107" s="35">
        <f>SUM(D108:D109)</f>
        <v>7903</v>
      </c>
      <c r="E107" s="35">
        <f t="shared" ref="E107:BB107" si="225">SUM(E108:E109)</f>
        <v>0</v>
      </c>
      <c r="F107" s="35">
        <f t="shared" si="225"/>
        <v>144890</v>
      </c>
      <c r="G107" s="35">
        <f t="shared" si="225"/>
        <v>0</v>
      </c>
      <c r="H107" s="35">
        <f t="shared" si="225"/>
        <v>0</v>
      </c>
      <c r="I107" s="35">
        <f t="shared" ref="I107" si="226">SUM(I108:I109)</f>
        <v>0</v>
      </c>
      <c r="J107" s="35">
        <f t="shared" si="225"/>
        <v>0</v>
      </c>
      <c r="K107" s="35">
        <f t="shared" si="225"/>
        <v>0</v>
      </c>
      <c r="L107" s="35">
        <f t="shared" si="225"/>
        <v>0</v>
      </c>
      <c r="M107" s="35">
        <f t="shared" ref="M107:T107" si="227">SUM(M108:M109)</f>
        <v>0</v>
      </c>
      <c r="N107" s="35">
        <f t="shared" si="227"/>
        <v>0</v>
      </c>
      <c r="O107" s="35">
        <f t="shared" ref="O107:P107" si="228">SUM(O108:O109)</f>
        <v>0</v>
      </c>
      <c r="P107" s="35">
        <f t="shared" si="228"/>
        <v>0</v>
      </c>
      <c r="Q107" s="35">
        <f t="shared" si="227"/>
        <v>13407</v>
      </c>
      <c r="R107" s="117">
        <f t="shared" si="227"/>
        <v>0</v>
      </c>
      <c r="S107" s="35">
        <f t="shared" si="227"/>
        <v>0</v>
      </c>
      <c r="T107" s="35">
        <f t="shared" si="227"/>
        <v>0</v>
      </c>
      <c r="U107" s="35">
        <f t="shared" si="225"/>
        <v>0</v>
      </c>
      <c r="V107" s="35">
        <f t="shared" si="225"/>
        <v>166200</v>
      </c>
      <c r="W107" s="13">
        <f t="shared" si="225"/>
        <v>7803</v>
      </c>
      <c r="X107" s="35">
        <f t="shared" si="225"/>
        <v>0</v>
      </c>
      <c r="Y107" s="35">
        <f t="shared" si="225"/>
        <v>0</v>
      </c>
      <c r="Z107" s="35">
        <f t="shared" si="225"/>
        <v>0</v>
      </c>
      <c r="AA107" s="35">
        <f t="shared" si="225"/>
        <v>0</v>
      </c>
      <c r="AB107" s="35">
        <f t="shared" si="225"/>
        <v>0</v>
      </c>
      <c r="AC107" s="35">
        <f t="shared" si="225"/>
        <v>0</v>
      </c>
      <c r="AD107" s="35">
        <f t="shared" ref="AD107:AI107" si="229">SUM(AD108:AD109)</f>
        <v>0</v>
      </c>
      <c r="AE107" s="35">
        <f t="shared" ref="AE107" si="230">SUM(AE108:AE109)</f>
        <v>0</v>
      </c>
      <c r="AF107" s="117">
        <f t="shared" si="229"/>
        <v>257864</v>
      </c>
      <c r="AG107" s="35">
        <f t="shared" si="229"/>
        <v>0</v>
      </c>
      <c r="AH107" s="35">
        <f t="shared" si="229"/>
        <v>0</v>
      </c>
      <c r="AI107" s="35">
        <f t="shared" si="229"/>
        <v>0</v>
      </c>
      <c r="AJ107" s="35">
        <f t="shared" si="225"/>
        <v>0</v>
      </c>
      <c r="AK107" s="35">
        <f t="shared" si="225"/>
        <v>0</v>
      </c>
      <c r="AL107" s="13">
        <f>SUM(AL108:AL109)</f>
        <v>265667</v>
      </c>
      <c r="AM107" s="35">
        <f t="shared" si="225"/>
        <v>0</v>
      </c>
      <c r="AN107" s="35">
        <f t="shared" si="225"/>
        <v>0</v>
      </c>
      <c r="AO107" s="35">
        <f t="shared" si="225"/>
        <v>0</v>
      </c>
      <c r="AP107" s="35">
        <f t="shared" si="225"/>
        <v>0</v>
      </c>
      <c r="AQ107" s="35">
        <f t="shared" si="225"/>
        <v>7803</v>
      </c>
      <c r="AR107" s="35">
        <f t="shared" si="225"/>
        <v>0</v>
      </c>
      <c r="AS107" s="35">
        <f t="shared" si="225"/>
        <v>0</v>
      </c>
      <c r="AT107" s="35">
        <f t="shared" ref="AT107:AY107" si="231">SUM(AT108:AT109)</f>
        <v>0</v>
      </c>
      <c r="AU107" s="117">
        <f t="shared" si="231"/>
        <v>0</v>
      </c>
      <c r="AV107" s="35">
        <f t="shared" si="231"/>
        <v>0</v>
      </c>
      <c r="AW107" s="35">
        <f t="shared" si="231"/>
        <v>0</v>
      </c>
      <c r="AX107" s="35">
        <f t="shared" si="231"/>
        <v>0</v>
      </c>
      <c r="AY107" s="35">
        <f t="shared" si="231"/>
        <v>0</v>
      </c>
      <c r="AZ107" s="35">
        <f t="shared" si="225"/>
        <v>0</v>
      </c>
      <c r="BA107" s="35">
        <f t="shared" si="225"/>
        <v>0</v>
      </c>
      <c r="BB107" s="35">
        <f t="shared" si="225"/>
        <v>7803</v>
      </c>
    </row>
    <row r="108" spans="1:54" s="44" customFormat="1" ht="15.75" hidden="1" x14ac:dyDescent="0.25">
      <c r="A108" s="86"/>
      <c r="B108" s="50"/>
      <c r="C108" s="51">
        <v>909</v>
      </c>
      <c r="D108" s="42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115"/>
      <c r="S108" s="49"/>
      <c r="T108" s="49"/>
      <c r="U108" s="49"/>
      <c r="V108" s="42">
        <f t="shared" ref="V108:V109" si="232">SUM(D108:U108)</f>
        <v>0</v>
      </c>
      <c r="W108" s="49"/>
      <c r="X108" s="49"/>
      <c r="Y108" s="49"/>
      <c r="Z108" s="49"/>
      <c r="AA108" s="49"/>
      <c r="AB108" s="49"/>
      <c r="AC108" s="49"/>
      <c r="AD108" s="49"/>
      <c r="AE108" s="49"/>
      <c r="AF108" s="115"/>
      <c r="AG108" s="49"/>
      <c r="AH108" s="49"/>
      <c r="AI108" s="49"/>
      <c r="AJ108" s="49"/>
      <c r="AK108" s="49"/>
      <c r="AL108" s="49">
        <f>SUM(W108:AK108)</f>
        <v>0</v>
      </c>
      <c r="AM108" s="42"/>
      <c r="AN108" s="49"/>
      <c r="AO108" s="49"/>
      <c r="AP108" s="49"/>
      <c r="AQ108" s="49"/>
      <c r="AR108" s="49"/>
      <c r="AS108" s="49"/>
      <c r="AT108" s="49"/>
      <c r="AU108" s="115"/>
      <c r="AV108" s="49"/>
      <c r="AW108" s="49"/>
      <c r="AX108" s="49"/>
      <c r="AY108" s="49"/>
      <c r="AZ108" s="49"/>
      <c r="BA108" s="49"/>
      <c r="BB108" s="42">
        <f t="shared" ref="BB108:BB109" si="233">SUM(AM108:BA108)</f>
        <v>0</v>
      </c>
    </row>
    <row r="109" spans="1:54" s="53" customFormat="1" ht="15.75" hidden="1" x14ac:dyDescent="0.25">
      <c r="A109" s="87"/>
      <c r="B109" s="54"/>
      <c r="C109" s="51">
        <v>920</v>
      </c>
      <c r="D109" s="42">
        <v>7903</v>
      </c>
      <c r="E109" s="45"/>
      <c r="F109" s="45">
        <f>145153-263</f>
        <v>144890</v>
      </c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>
        <v>13407</v>
      </c>
      <c r="R109" s="119"/>
      <c r="S109" s="45"/>
      <c r="T109" s="45"/>
      <c r="U109" s="45"/>
      <c r="V109" s="42">
        <f t="shared" si="232"/>
        <v>166200</v>
      </c>
      <c r="W109" s="45">
        <v>7803</v>
      </c>
      <c r="X109" s="45"/>
      <c r="Y109" s="45"/>
      <c r="Z109" s="45"/>
      <c r="AA109" s="45"/>
      <c r="AB109" s="45"/>
      <c r="AC109" s="45"/>
      <c r="AD109" s="45"/>
      <c r="AE109" s="45"/>
      <c r="AF109" s="119">
        <f>257864</f>
        <v>257864</v>
      </c>
      <c r="AG109" s="45"/>
      <c r="AH109" s="45"/>
      <c r="AI109" s="45"/>
      <c r="AJ109" s="45"/>
      <c r="AK109" s="45"/>
      <c r="AL109" s="45">
        <f>SUM(W109:AK109)</f>
        <v>265667</v>
      </c>
      <c r="AM109" s="42"/>
      <c r="AN109" s="45"/>
      <c r="AO109" s="45"/>
      <c r="AP109" s="45"/>
      <c r="AQ109" s="45">
        <f>7803</f>
        <v>7803</v>
      </c>
      <c r="AR109" s="45"/>
      <c r="AS109" s="45"/>
      <c r="AT109" s="45"/>
      <c r="AU109" s="119"/>
      <c r="AV109" s="45"/>
      <c r="AW109" s="45"/>
      <c r="AX109" s="45"/>
      <c r="AY109" s="45"/>
      <c r="AZ109" s="45"/>
      <c r="BA109" s="45"/>
      <c r="BB109" s="42">
        <f t="shared" si="233"/>
        <v>7803</v>
      </c>
    </row>
    <row r="110" spans="1:54" s="19" customFormat="1" ht="21.75" customHeight="1" x14ac:dyDescent="0.25">
      <c r="A110" s="88"/>
      <c r="B110" s="38"/>
      <c r="C110" s="39" t="s">
        <v>4</v>
      </c>
      <c r="D110" s="15">
        <f>D14+D18+D22+D25+D30+D31+D35+D36+D45+D48+D52+D53+D58+D59+D72+D73+D74+D75+D87+D88+D91+D93+D98+D101+D102+D92+D107</f>
        <v>9033290</v>
      </c>
      <c r="E110" s="15">
        <f t="shared" ref="E110:BB110" si="234">E14+E18+E22+E25+E30+E31+E35+E36+E45+E48+E52+E53+E58+E59+E72+E73+E74+E75+E87+E88+E91+E93+E98+E101+E102+E92+E107</f>
        <v>334980</v>
      </c>
      <c r="F110" s="15">
        <f>F14+F18+F22+F25+F30+F31+F35+F36+F45+F48+F52+F53+F58+F59+F72+F73+F74+F75+F87+F88+F91+F93+F98+F101+F102+F92+F107</f>
        <v>1569198</v>
      </c>
      <c r="G110" s="15">
        <f t="shared" si="234"/>
        <v>273000</v>
      </c>
      <c r="H110" s="15">
        <f>H14+H18+H22+H25+H30+H31+H35+H36+H45+H48+H52+H53+H58+H59+H72+H73+H74+H75+H87+H88+H91+H93+H98+H101+H102+H92+H107</f>
        <v>5501909</v>
      </c>
      <c r="I110" s="15">
        <f t="shared" si="234"/>
        <v>94506</v>
      </c>
      <c r="J110" s="15">
        <f t="shared" si="234"/>
        <v>604645</v>
      </c>
      <c r="K110" s="15">
        <f t="shared" si="234"/>
        <v>417733</v>
      </c>
      <c r="L110" s="15">
        <f t="shared" si="234"/>
        <v>79998</v>
      </c>
      <c r="M110" s="15">
        <f t="shared" si="234"/>
        <v>59035</v>
      </c>
      <c r="N110" s="15">
        <f t="shared" si="234"/>
        <v>104859</v>
      </c>
      <c r="O110" s="15">
        <f t="shared" si="234"/>
        <v>40000</v>
      </c>
      <c r="P110" s="15">
        <f t="shared" si="234"/>
        <v>165161</v>
      </c>
      <c r="Q110" s="15">
        <f t="shared" si="234"/>
        <v>-222663</v>
      </c>
      <c r="R110" s="122">
        <f t="shared" si="234"/>
        <v>100606</v>
      </c>
      <c r="S110" s="15">
        <f t="shared" si="234"/>
        <v>0</v>
      </c>
      <c r="T110" s="15">
        <f t="shared" si="234"/>
        <v>0</v>
      </c>
      <c r="U110" s="15">
        <f t="shared" si="234"/>
        <v>0</v>
      </c>
      <c r="V110" s="15">
        <f>V14+V18+V22+V25+V30+V31+V35+V36+V45+V48+V52+V53+V58+V59+V72+V73+V74+V75+V87+V88+V91+V93+V98+V101+V102+V92+V107</f>
        <v>18156257</v>
      </c>
      <c r="W110" s="15">
        <f t="shared" si="234"/>
        <v>7817993</v>
      </c>
      <c r="X110" s="15">
        <f t="shared" si="234"/>
        <v>149539</v>
      </c>
      <c r="Y110" s="15">
        <f t="shared" si="234"/>
        <v>510374</v>
      </c>
      <c r="Z110" s="15">
        <f t="shared" si="234"/>
        <v>4909426</v>
      </c>
      <c r="AA110" s="15">
        <f t="shared" si="234"/>
        <v>354959</v>
      </c>
      <c r="AB110" s="15">
        <f t="shared" si="234"/>
        <v>-19824</v>
      </c>
      <c r="AC110" s="15">
        <f t="shared" si="234"/>
        <v>44050</v>
      </c>
      <c r="AD110" s="15">
        <f t="shared" si="234"/>
        <v>3210</v>
      </c>
      <c r="AE110" s="15">
        <f t="shared" si="234"/>
        <v>500</v>
      </c>
      <c r="AF110" s="122">
        <f t="shared" si="234"/>
        <v>476474</v>
      </c>
      <c r="AG110" s="15">
        <f t="shared" si="234"/>
        <v>0</v>
      </c>
      <c r="AH110" s="15">
        <f t="shared" si="234"/>
        <v>0</v>
      </c>
      <c r="AI110" s="15">
        <f t="shared" si="234"/>
        <v>0</v>
      </c>
      <c r="AJ110" s="15">
        <f t="shared" si="234"/>
        <v>0</v>
      </c>
      <c r="AK110" s="15">
        <f t="shared" si="234"/>
        <v>0</v>
      </c>
      <c r="AL110" s="15">
        <f t="shared" si="234"/>
        <v>14246701</v>
      </c>
      <c r="AM110" s="15">
        <f t="shared" si="234"/>
        <v>6367990</v>
      </c>
      <c r="AN110" s="15">
        <f t="shared" si="234"/>
        <v>925716</v>
      </c>
      <c r="AO110" s="15">
        <f t="shared" si="234"/>
        <v>264470</v>
      </c>
      <c r="AP110" s="15">
        <f t="shared" si="234"/>
        <v>5085918</v>
      </c>
      <c r="AQ110" s="15">
        <f t="shared" si="234"/>
        <v>327190</v>
      </c>
      <c r="AR110" s="15">
        <f t="shared" si="234"/>
        <v>1026</v>
      </c>
      <c r="AS110" s="15">
        <f t="shared" si="234"/>
        <v>0</v>
      </c>
      <c r="AT110" s="15">
        <f t="shared" si="234"/>
        <v>1938</v>
      </c>
      <c r="AU110" s="122">
        <f t="shared" si="234"/>
        <v>13</v>
      </c>
      <c r="AV110" s="15">
        <f t="shared" si="234"/>
        <v>0</v>
      </c>
      <c r="AW110" s="15">
        <f t="shared" si="234"/>
        <v>0</v>
      </c>
      <c r="AX110" s="15">
        <f t="shared" si="234"/>
        <v>0</v>
      </c>
      <c r="AY110" s="15">
        <f t="shared" si="234"/>
        <v>0</v>
      </c>
      <c r="AZ110" s="15">
        <f t="shared" si="234"/>
        <v>0</v>
      </c>
      <c r="BA110" s="15">
        <f t="shared" si="234"/>
        <v>0</v>
      </c>
      <c r="BB110" s="15">
        <f t="shared" si="234"/>
        <v>12974261</v>
      </c>
    </row>
    <row r="111" spans="1:54" ht="15.75" hidden="1" x14ac:dyDescent="0.25">
      <c r="A111" s="6"/>
      <c r="B111" s="9"/>
      <c r="C111" s="12"/>
      <c r="D111" s="22"/>
      <c r="E111" s="25">
        <f>D110+E110</f>
        <v>9368270</v>
      </c>
      <c r="F111" s="25">
        <f>E111+F110</f>
        <v>10937468</v>
      </c>
      <c r="G111" s="25">
        <f>F111+G110</f>
        <v>11210468</v>
      </c>
      <c r="H111" s="25">
        <f t="shared" ref="H111:L111" si="235">G111+H110</f>
        <v>16712377</v>
      </c>
      <c r="I111" s="25">
        <f t="shared" si="235"/>
        <v>16806883</v>
      </c>
      <c r="J111" s="25">
        <f t="shared" si="235"/>
        <v>17411528</v>
      </c>
      <c r="K111" s="25">
        <f>J111+K110</f>
        <v>17829261</v>
      </c>
      <c r="L111" s="2">
        <f t="shared" si="235"/>
        <v>17909259</v>
      </c>
      <c r="M111" s="25">
        <f t="shared" ref="M111:N111" si="236">L111+M110</f>
        <v>17968294</v>
      </c>
      <c r="N111" s="25">
        <f t="shared" si="236"/>
        <v>18073153</v>
      </c>
      <c r="O111" s="25">
        <f t="shared" ref="O111" si="237">N111+O110</f>
        <v>18113153</v>
      </c>
      <c r="P111" s="25">
        <f t="shared" ref="P111" si="238">O111+P110</f>
        <v>18278314</v>
      </c>
      <c r="Q111" s="25">
        <f t="shared" ref="Q111" si="239">P111+Q110</f>
        <v>18055651</v>
      </c>
      <c r="R111" s="25">
        <f t="shared" ref="R111" si="240">Q111+R110</f>
        <v>18156257</v>
      </c>
      <c r="S111" s="25">
        <f t="shared" ref="S111" si="241">R111+S110</f>
        <v>18156257</v>
      </c>
      <c r="T111" s="25">
        <f t="shared" ref="T111" si="242">S111+T110</f>
        <v>18156257</v>
      </c>
      <c r="U111" s="25">
        <f t="shared" ref="U111" si="243">T111+U110</f>
        <v>18156257</v>
      </c>
      <c r="V111" s="16"/>
      <c r="W111" s="16"/>
      <c r="X111" s="25">
        <f>W110+X110</f>
        <v>7967532</v>
      </c>
      <c r="Y111" s="25">
        <f>X111+Y110</f>
        <v>8477906</v>
      </c>
      <c r="Z111" s="25">
        <f>Y111+Z110</f>
        <v>13387332</v>
      </c>
      <c r="AA111" s="25">
        <f t="shared" ref="AA111:AC111" si="244">Z111+AA110</f>
        <v>13742291</v>
      </c>
      <c r="AB111" s="25">
        <f t="shared" si="244"/>
        <v>13722467</v>
      </c>
      <c r="AC111" s="25">
        <f t="shared" si="244"/>
        <v>13766517</v>
      </c>
      <c r="AD111" s="2">
        <f t="shared" ref="AD111" si="245">AC111+AD110</f>
        <v>13769727</v>
      </c>
      <c r="AE111" s="25">
        <f>AD111+AE110</f>
        <v>13770227</v>
      </c>
      <c r="AF111" s="25">
        <f t="shared" ref="AF111:AI111" si="246">AE111+AF110</f>
        <v>14246701</v>
      </c>
      <c r="AG111" s="25">
        <f t="shared" si="246"/>
        <v>14246701</v>
      </c>
      <c r="AH111" s="2">
        <f t="shared" si="246"/>
        <v>14246701</v>
      </c>
      <c r="AI111" s="2">
        <f t="shared" si="246"/>
        <v>14246701</v>
      </c>
      <c r="AJ111" s="2">
        <f>AI111+AJ110</f>
        <v>14246701</v>
      </c>
      <c r="AK111" s="2">
        <f t="shared" ref="AK111" si="247">AJ111+AK110</f>
        <v>14246701</v>
      </c>
      <c r="AL111" s="2"/>
      <c r="AM111" s="16">
        <f>AM110</f>
        <v>6367990</v>
      </c>
      <c r="AN111" s="25">
        <f>AM111+AN110</f>
        <v>7293706</v>
      </c>
      <c r="AO111" s="25">
        <f>AN111+AO110</f>
        <v>7558176</v>
      </c>
      <c r="AP111" s="25">
        <f t="shared" ref="AP111:AS111" si="248">AO111+AP110</f>
        <v>12644094</v>
      </c>
      <c r="AQ111" s="16">
        <f t="shared" si="248"/>
        <v>12971284</v>
      </c>
      <c r="AR111" s="16">
        <f t="shared" si="248"/>
        <v>12972310</v>
      </c>
      <c r="AS111" s="2">
        <f t="shared" si="248"/>
        <v>12972310</v>
      </c>
      <c r="AT111" s="25">
        <f t="shared" ref="AT111" si="249">AS111+AT110</f>
        <v>12974248</v>
      </c>
      <c r="AU111" s="25">
        <f t="shared" ref="AU111" si="250">AT111+AU110</f>
        <v>12974261</v>
      </c>
      <c r="AV111" s="25">
        <f t="shared" ref="AV111" si="251">AU111+AV110</f>
        <v>12974261</v>
      </c>
      <c r="AW111" s="25">
        <f t="shared" ref="AW111" si="252">AV111+AW110</f>
        <v>12974261</v>
      </c>
      <c r="AX111" s="25">
        <f t="shared" ref="AX111" si="253">AW111+AX110</f>
        <v>12974261</v>
      </c>
      <c r="AY111" s="25">
        <f t="shared" ref="AY111" si="254">AX111+AY110</f>
        <v>12974261</v>
      </c>
      <c r="AZ111" s="25">
        <f t="shared" ref="AZ111" si="255">AY111+AZ110</f>
        <v>12974261</v>
      </c>
      <c r="BA111" s="25">
        <f t="shared" ref="BA111" si="256">AZ111+BA110</f>
        <v>12974261</v>
      </c>
      <c r="BB111" s="2"/>
    </row>
    <row r="112" spans="1:54" ht="15.75" hidden="1" x14ac:dyDescent="0.25">
      <c r="A112" s="6"/>
      <c r="B112" s="9"/>
      <c r="C112" s="12"/>
      <c r="D112" s="22"/>
      <c r="E112" s="21"/>
      <c r="F112" s="21"/>
      <c r="G112" s="21"/>
      <c r="H112" s="21"/>
      <c r="I112" s="21"/>
      <c r="J112" s="21"/>
      <c r="K112" s="21"/>
      <c r="L112" s="5"/>
      <c r="M112" s="21"/>
      <c r="N112" s="57"/>
      <c r="O112" s="21"/>
      <c r="P112" s="21"/>
      <c r="Q112" s="21"/>
      <c r="R112" s="21"/>
      <c r="S112" s="21"/>
      <c r="T112" s="21"/>
      <c r="U112" s="21"/>
      <c r="V112" s="17"/>
      <c r="W112" s="17"/>
      <c r="X112" s="23"/>
      <c r="Y112" s="23"/>
      <c r="Z112" s="23"/>
      <c r="AA112" s="23"/>
      <c r="AB112" s="23"/>
      <c r="AC112" s="23"/>
      <c r="AD112" s="3"/>
      <c r="AE112" s="23"/>
      <c r="AF112" s="23"/>
      <c r="AG112" s="23"/>
      <c r="AH112" s="23"/>
      <c r="AI112" s="23"/>
      <c r="AJ112" s="23"/>
      <c r="AK112" s="23"/>
      <c r="AL112" s="5"/>
      <c r="AM112" s="17"/>
      <c r="AN112" s="23"/>
      <c r="AO112" s="23"/>
      <c r="AP112" s="23"/>
      <c r="AQ112" s="20"/>
      <c r="AR112" s="20"/>
      <c r="AS112" s="3"/>
      <c r="AT112" s="23"/>
      <c r="AU112" s="23"/>
      <c r="AV112" s="23"/>
      <c r="AW112" s="23"/>
      <c r="AX112" s="23"/>
      <c r="AY112" s="23"/>
      <c r="AZ112" s="23"/>
      <c r="BA112" s="23"/>
      <c r="BB112" s="5"/>
    </row>
    <row r="113" spans="1:54" ht="15.75" hidden="1" x14ac:dyDescent="0.25">
      <c r="A113" s="6"/>
      <c r="B113" s="9"/>
      <c r="C113" s="22" t="s">
        <v>92</v>
      </c>
      <c r="D113" s="111">
        <v>686283</v>
      </c>
      <c r="E113" s="21"/>
      <c r="F113" s="21"/>
      <c r="G113" s="21"/>
      <c r="H113" s="21"/>
      <c r="I113" s="21"/>
      <c r="J113" s="21"/>
      <c r="K113" s="21"/>
      <c r="L113" s="5"/>
      <c r="M113" s="21"/>
      <c r="N113" s="58"/>
      <c r="O113" s="21"/>
      <c r="P113" s="21"/>
      <c r="Q113" s="21"/>
      <c r="R113" s="21"/>
      <c r="S113" s="21"/>
      <c r="T113" s="21"/>
      <c r="U113" s="21"/>
      <c r="V113" s="111">
        <v>909662</v>
      </c>
      <c r="W113" s="17"/>
      <c r="X113" s="23"/>
      <c r="Y113" s="23"/>
      <c r="Z113" s="23"/>
      <c r="AA113" s="23"/>
      <c r="AB113" s="23"/>
      <c r="AC113" s="23"/>
      <c r="AD113" s="3"/>
      <c r="AE113" s="23"/>
      <c r="AF113" s="23"/>
      <c r="AG113" s="23"/>
      <c r="AH113" s="23"/>
      <c r="AI113" s="23"/>
      <c r="AJ113" s="23"/>
      <c r="AK113" s="23"/>
      <c r="AL113" s="5">
        <v>2189654</v>
      </c>
      <c r="AM113" s="17"/>
      <c r="AN113" s="23"/>
      <c r="AO113" s="23"/>
      <c r="AP113" s="23"/>
      <c r="AQ113" s="20"/>
      <c r="AR113" s="20"/>
      <c r="AS113" s="3"/>
      <c r="AT113" s="23"/>
      <c r="AU113" s="23"/>
      <c r="AV113" s="23"/>
      <c r="AW113" s="23"/>
      <c r="AX113" s="23"/>
      <c r="AY113" s="23"/>
      <c r="AZ113" s="23"/>
      <c r="BA113" s="23"/>
      <c r="BB113" s="5">
        <v>2833792</v>
      </c>
    </row>
    <row r="114" spans="1:54" ht="15.75" hidden="1" x14ac:dyDescent="0.25">
      <c r="A114" s="6"/>
      <c r="B114" s="9"/>
      <c r="C114" s="22" t="s">
        <v>95</v>
      </c>
      <c r="D114" s="111"/>
      <c r="E114" s="21"/>
      <c r="F114" s="21"/>
      <c r="G114" s="21"/>
      <c r="H114" s="21"/>
      <c r="I114" s="21"/>
      <c r="J114" s="21"/>
      <c r="K114" s="21"/>
      <c r="L114" s="5"/>
      <c r="M114" s="21"/>
      <c r="N114" s="58"/>
      <c r="O114" s="21"/>
      <c r="P114" s="21"/>
      <c r="Q114" s="21"/>
      <c r="R114" s="21"/>
      <c r="S114" s="21"/>
      <c r="T114" s="21"/>
      <c r="U114" s="21"/>
      <c r="V114" s="111"/>
      <c r="W114" s="17"/>
      <c r="X114" s="23"/>
      <c r="Y114" s="23"/>
      <c r="Z114" s="23"/>
      <c r="AA114" s="23"/>
      <c r="AB114" s="23"/>
      <c r="AC114" s="23"/>
      <c r="AD114" s="3"/>
      <c r="AE114" s="23"/>
      <c r="AF114" s="23"/>
      <c r="AG114" s="23"/>
      <c r="AH114" s="23"/>
      <c r="AI114" s="23"/>
      <c r="AJ114" s="23"/>
      <c r="AK114" s="23"/>
      <c r="AL114" s="17">
        <v>237798</v>
      </c>
      <c r="AM114" s="17"/>
      <c r="AN114" s="23"/>
      <c r="AO114" s="23"/>
      <c r="AP114" s="23"/>
      <c r="AQ114" s="20"/>
      <c r="AR114" s="20"/>
      <c r="AS114" s="3"/>
      <c r="AT114" s="23"/>
      <c r="AU114" s="23"/>
      <c r="AV114" s="23"/>
      <c r="AW114" s="23"/>
      <c r="AX114" s="23"/>
      <c r="AY114" s="23"/>
      <c r="AZ114" s="23"/>
      <c r="BA114" s="23"/>
      <c r="BB114" s="5">
        <v>508579</v>
      </c>
    </row>
    <row r="115" spans="1:54" ht="15.75" hidden="1" x14ac:dyDescent="0.25">
      <c r="A115" s="6"/>
      <c r="B115" s="9"/>
      <c r="C115" s="89" t="s">
        <v>93</v>
      </c>
      <c r="D115" s="17">
        <v>10054553</v>
      </c>
      <c r="E115" s="112"/>
      <c r="F115" s="21"/>
      <c r="G115" s="21"/>
      <c r="H115" s="21"/>
      <c r="I115" s="21"/>
      <c r="J115" s="21"/>
      <c r="K115" s="21"/>
      <c r="L115" s="5"/>
      <c r="M115" s="21"/>
      <c r="N115" s="59"/>
      <c r="O115" s="21"/>
      <c r="P115" s="21"/>
      <c r="Q115" s="21"/>
      <c r="R115" s="21"/>
      <c r="S115" s="21"/>
      <c r="T115" s="21"/>
      <c r="U115" s="21"/>
      <c r="V115" s="76">
        <v>19065919</v>
      </c>
      <c r="W115" s="17"/>
      <c r="X115" s="23"/>
      <c r="Y115" s="23"/>
      <c r="Z115" s="23"/>
      <c r="AA115" s="23"/>
      <c r="AB115" s="23"/>
      <c r="AC115" s="23"/>
      <c r="AD115" s="3"/>
      <c r="AE115" s="23"/>
      <c r="AF115" s="23"/>
      <c r="AG115" s="23"/>
      <c r="AH115" s="23"/>
      <c r="AI115" s="23"/>
      <c r="AJ115" s="23"/>
      <c r="AK115" s="23"/>
      <c r="AL115" s="76">
        <v>16674153</v>
      </c>
      <c r="AM115" s="17"/>
      <c r="AN115" s="21"/>
      <c r="AO115" s="21"/>
      <c r="AP115" s="21"/>
      <c r="AQ115" s="17"/>
      <c r="AR115" s="17"/>
      <c r="AS115" s="5"/>
      <c r="AT115" s="21"/>
      <c r="AU115" s="21"/>
      <c r="AV115" s="21"/>
      <c r="AW115" s="21"/>
      <c r="AX115" s="21"/>
      <c r="AY115" s="21"/>
      <c r="AZ115" s="21"/>
      <c r="BA115" s="21"/>
      <c r="BB115" s="76">
        <v>16316632</v>
      </c>
    </row>
    <row r="116" spans="1:54" hidden="1" x14ac:dyDescent="0.25">
      <c r="A116" s="6"/>
      <c r="B116" s="9"/>
      <c r="C116" s="12" t="s">
        <v>94</v>
      </c>
      <c r="D116" s="17">
        <f>D115-D113</f>
        <v>9368270</v>
      </c>
      <c r="E116" s="21"/>
      <c r="F116" s="5"/>
      <c r="G116" s="21"/>
      <c r="H116" s="5"/>
      <c r="I116" s="5"/>
      <c r="J116" s="5"/>
      <c r="K116" s="5"/>
      <c r="L116" s="5">
        <f t="shared" ref="L116:U116" si="257">L113+AC110</f>
        <v>44050</v>
      </c>
      <c r="M116" s="5">
        <f t="shared" si="257"/>
        <v>3210</v>
      </c>
      <c r="N116" s="5">
        <f t="shared" si="257"/>
        <v>500</v>
      </c>
      <c r="O116" s="5">
        <f t="shared" si="257"/>
        <v>476474</v>
      </c>
      <c r="P116" s="5">
        <f t="shared" si="257"/>
        <v>0</v>
      </c>
      <c r="Q116" s="5">
        <f t="shared" si="257"/>
        <v>0</v>
      </c>
      <c r="R116" s="5">
        <f t="shared" si="257"/>
        <v>0</v>
      </c>
      <c r="S116" s="5">
        <f t="shared" si="257"/>
        <v>0</v>
      </c>
      <c r="T116" s="5">
        <f t="shared" si="257"/>
        <v>0</v>
      </c>
      <c r="U116" s="5">
        <f t="shared" si="257"/>
        <v>14246701</v>
      </c>
      <c r="V116" s="17">
        <f>V115-V113</f>
        <v>18156257</v>
      </c>
      <c r="W116" s="17"/>
      <c r="X116" s="23"/>
      <c r="Y116" s="23"/>
      <c r="Z116" s="23"/>
      <c r="AA116" s="23"/>
      <c r="AB116" s="23"/>
      <c r="AC116" s="23"/>
      <c r="AD116" s="3"/>
      <c r="AE116" s="23"/>
      <c r="AF116" s="23"/>
      <c r="AG116" s="23"/>
      <c r="AH116" s="23"/>
      <c r="AI116" s="23"/>
      <c r="AJ116" s="23"/>
      <c r="AK116" s="23"/>
      <c r="AL116" s="5">
        <f>AL115-AL114-AL113</f>
        <v>14246701</v>
      </c>
      <c r="AM116" s="17"/>
      <c r="AN116" s="23"/>
      <c r="AO116" s="23"/>
      <c r="AP116" s="23"/>
      <c r="AQ116" s="20"/>
      <c r="AR116" s="20"/>
      <c r="AS116" s="3"/>
      <c r="AT116" s="23"/>
      <c r="AU116" s="23"/>
      <c r="AV116" s="23"/>
      <c r="AW116" s="23"/>
      <c r="AX116" s="23"/>
      <c r="AY116" s="23"/>
      <c r="AZ116" s="23"/>
      <c r="BA116" s="23"/>
      <c r="BB116" s="5">
        <f>BB115-BB114-BB113</f>
        <v>12974261</v>
      </c>
    </row>
    <row r="117" spans="1:54" hidden="1" x14ac:dyDescent="0.25">
      <c r="C117" s="11"/>
      <c r="D117" s="18"/>
      <c r="V117" s="123">
        <f>V116-V110</f>
        <v>0</v>
      </c>
      <c r="W117" s="123">
        <f>W116-W115</f>
        <v>0</v>
      </c>
      <c r="X117" s="124"/>
      <c r="Y117" s="124"/>
      <c r="Z117" s="124"/>
      <c r="AA117" s="124"/>
      <c r="AB117" s="124"/>
      <c r="AC117" s="124"/>
      <c r="AD117" s="125"/>
      <c r="AE117" s="124"/>
      <c r="AF117" s="124"/>
      <c r="AG117" s="124"/>
      <c r="AH117" s="124"/>
      <c r="AI117" s="124"/>
      <c r="AJ117" s="124"/>
      <c r="AK117" s="124"/>
      <c r="AL117" s="126">
        <f>AL116-AL110</f>
        <v>0</v>
      </c>
      <c r="AM117" s="18">
        <f>AM116-AM115</f>
        <v>0</v>
      </c>
      <c r="BB117" s="126">
        <f>BB116-BB110</f>
        <v>0</v>
      </c>
    </row>
    <row r="118" spans="1:54" hidden="1" x14ac:dyDescent="0.25">
      <c r="C118" s="77"/>
      <c r="H118" s="104"/>
      <c r="I118" s="105"/>
      <c r="V118" s="64"/>
      <c r="W118" s="64"/>
      <c r="X118" s="65"/>
      <c r="Y118" s="65"/>
      <c r="Z118" s="65"/>
      <c r="AA118" s="65"/>
      <c r="AB118" s="65"/>
      <c r="AC118" s="65"/>
      <c r="AD118" s="66"/>
      <c r="AE118" s="65"/>
      <c r="AF118" s="65"/>
      <c r="AG118" s="65"/>
      <c r="AH118" s="65"/>
      <c r="AI118" s="65"/>
      <c r="AJ118" s="65"/>
      <c r="AK118" s="65"/>
      <c r="AL118" s="67"/>
      <c r="AM118" s="64"/>
      <c r="AN118" s="102"/>
      <c r="AO118" s="67"/>
      <c r="AP118" s="102"/>
      <c r="AQ118" s="67"/>
      <c r="AR118" s="67"/>
      <c r="AS118" s="66"/>
      <c r="AT118" s="65"/>
      <c r="AU118" s="65"/>
      <c r="AV118" s="65"/>
      <c r="AW118" s="65"/>
      <c r="AX118" s="65"/>
      <c r="AY118" s="65"/>
      <c r="AZ118" s="65"/>
      <c r="BA118" s="65"/>
      <c r="BB118" s="67"/>
    </row>
    <row r="119" spans="1:54" x14ac:dyDescent="0.25">
      <c r="V119" s="18"/>
      <c r="W119" s="18"/>
      <c r="AL119" s="8"/>
      <c r="AM119" s="18"/>
      <c r="BB119" s="8"/>
    </row>
    <row r="120" spans="1:54" x14ac:dyDescent="0.25">
      <c r="C120" s="11"/>
      <c r="D120" s="108"/>
      <c r="V120" s="71"/>
      <c r="W120" s="71"/>
      <c r="X120" s="101"/>
      <c r="Y120" s="71"/>
      <c r="Z120" s="10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101"/>
      <c r="AO120" s="71"/>
      <c r="AP120" s="10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</row>
    <row r="121" spans="1:54" x14ac:dyDescent="0.25">
      <c r="H121" s="103"/>
      <c r="V121" s="18"/>
      <c r="W121" s="18"/>
      <c r="AL121" s="8"/>
      <c r="AM121" s="18"/>
      <c r="BB121" s="8"/>
    </row>
    <row r="122" spans="1:54" x14ac:dyDescent="0.25">
      <c r="V122" s="18"/>
      <c r="W122" s="18"/>
      <c r="AL122" s="8"/>
      <c r="AM122" s="18"/>
      <c r="BB122" s="8"/>
    </row>
    <row r="123" spans="1:54" x14ac:dyDescent="0.25">
      <c r="V123" s="18"/>
      <c r="W123" s="18"/>
      <c r="AL123" s="8"/>
      <c r="AM123" s="18"/>
      <c r="BB123" s="8"/>
    </row>
    <row r="124" spans="1:54" x14ac:dyDescent="0.25">
      <c r="V124" s="18"/>
      <c r="W124" s="18"/>
      <c r="AL124" s="8"/>
      <c r="AM124" s="18"/>
      <c r="BB124" s="8"/>
    </row>
    <row r="131" spans="22:22" x14ac:dyDescent="0.25">
      <c r="V131" s="18"/>
    </row>
    <row r="132" spans="22:22" x14ac:dyDescent="0.25">
      <c r="V132" s="18"/>
    </row>
  </sheetData>
  <mergeCells count="18">
    <mergeCell ref="A1:BB1"/>
    <mergeCell ref="A2:BB2"/>
    <mergeCell ref="A3:BB3"/>
    <mergeCell ref="B60:B70"/>
    <mergeCell ref="A61:A63"/>
    <mergeCell ref="A76:A82"/>
    <mergeCell ref="B5:BB5"/>
    <mergeCell ref="B6:BB6"/>
    <mergeCell ref="B7:BB7"/>
    <mergeCell ref="A10:BB10"/>
    <mergeCell ref="A49:A51"/>
    <mergeCell ref="B49:B51"/>
    <mergeCell ref="A12:A13"/>
    <mergeCell ref="B12:B13"/>
    <mergeCell ref="C12:C13"/>
    <mergeCell ref="E12:BB12"/>
    <mergeCell ref="A37:A44"/>
    <mergeCell ref="B37:B44"/>
  </mergeCells>
  <pageMargins left="0.62992125984251968" right="0" top="0.35433070866141736" bottom="0.31496062992125984" header="0.15748031496062992" footer="0.31496062992125984"/>
  <pageSetup paperSize="9" scale="7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2022-09-13T09:48:31Z</cp:lastPrinted>
  <dcterms:created xsi:type="dcterms:W3CDTF">2015-09-30T07:41:26Z</dcterms:created>
  <dcterms:modified xsi:type="dcterms:W3CDTF">2023-12-21T08:10:05Z</dcterms:modified>
</cp:coreProperties>
</file>