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" sheetId="1" r:id="rId1"/>
  </sheets>
  <definedNames>
    <definedName name="_xlnm.Print_Titles" localSheetId="0">'проект 2009'!$A:$E,'проект 2009'!$11:$15</definedName>
    <definedName name="_xlnm.Print_Area" localSheetId="0">'проект 2009'!$A$1:$BZ$479</definedName>
  </definedNames>
  <calcPr fullCalcOnLoad="1"/>
</workbook>
</file>

<file path=xl/sharedStrings.xml><?xml version="1.0" encoding="utf-8"?>
<sst xmlns="http://schemas.openxmlformats.org/spreadsheetml/2006/main" count="1842" uniqueCount="413">
  <si>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</si>
  <si>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</si>
  <si>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</si>
  <si>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</si>
  <si>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</si>
  <si>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</si>
  <si>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</si>
  <si>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</si>
  <si>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Охрана семьи и детства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</si>
  <si>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</si>
  <si>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</si>
  <si>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</si>
  <si>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</si>
  <si>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</si>
  <si>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</si>
  <si>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</si>
  <si>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</si>
  <si>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</si>
  <si>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</si>
  <si>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</si>
  <si>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</si>
  <si>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проведения выборов и референдумов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</si>
  <si>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</si>
  <si>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</si>
  <si>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</si>
  <si>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</si>
  <si>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</si>
  <si>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</si>
  <si>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</si>
  <si>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</si>
  <si>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</si>
  <si>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</si>
  <si>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</si>
  <si>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</si>
  <si>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</si>
  <si>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</si>
  <si>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</si>
  <si>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</si>
  <si>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</si>
  <si>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</si>
  <si>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</si>
  <si>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</si>
  <si>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</si>
  <si>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</si>
  <si>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</si>
  <si>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</si>
  <si>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</si>
  <si>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</si>
  <si>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</si>
  <si>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</si>
  <si>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</si>
  <si>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</si>
  <si>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</si>
  <si>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</si>
  <si>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</si>
  <si>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</si>
  <si>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</si>
  <si>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</si>
  <si>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</si>
  <si>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</si>
  <si>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</si>
  <si>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</si>
  <si>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</si>
  <si>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</si>
  <si>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 - 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</si>
  <si>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</si>
  <si>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</si>
  <si>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</si>
  <si>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</si>
  <si>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</si>
  <si>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</si>
  <si>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</si>
  <si>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</si>
  <si>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</si>
  <si>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</si>
  <si>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</si>
  <si>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</si>
  <si>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</si>
  <si>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</si>
  <si>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</si>
  <si>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</si>
  <si>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</si>
  <si>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</si>
  <si>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</si>
  <si>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</si>
  <si>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</si>
  <si>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</si>
  <si>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</si>
  <si>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</si>
  <si>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</si>
  <si>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</si>
  <si>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</si>
  <si>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</si>
  <si>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</si>
  <si>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</si>
  <si>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</si>
  <si>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</si>
  <si>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</si>
  <si>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</si>
  <si>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</si>
  <si>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</si>
  <si>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</si>
  <si>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</si>
  <si>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</si>
  <si>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</si>
  <si>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</si>
  <si>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</si>
  <si>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</si>
  <si>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</si>
  <si>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</si>
  <si>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</si>
  <si>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</si>
  <si>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</si>
  <si>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</si>
  <si>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</si>
  <si>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</si>
  <si>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</si>
  <si>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</si>
  <si>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</si>
  <si>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</si>
  <si>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</si>
  <si>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</si>
  <si>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</si>
  <si>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</si>
  <si>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</si>
  <si>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</si>
  <si>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</si>
  <si>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</si>
  <si>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</si>
  <si>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</si>
  <si>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</si>
  <si>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</si>
  <si>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</si>
  <si>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</si>
  <si>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</si>
  <si>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</si>
  <si>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</si>
  <si>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Проведение выборов и референдумов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</si>
  <si>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</si>
  <si>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</si>
  <si>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</si>
  <si>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</si>
  <si>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</si>
  <si>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</si>
  <si>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</si>
  <si>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</si>
  <si>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</si>
  <si>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</si>
  <si>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</si>
  <si>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</si>
  <si>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</si>
  <si>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</si>
  <si>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</si>
  <si>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</si>
  <si>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</si>
  <si>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</si>
  <si>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</si>
  <si>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</si>
  <si>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</si>
  <si>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</si>
  <si>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</si>
  <si>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</si>
  <si>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</si>
  <si>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</si>
  <si>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</si>
  <si>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</si>
  <si>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</si>
  <si>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</si>
  <si>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</si>
  <si>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</si>
  <si>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</si>
  <si>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</si>
  <si>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</si>
  <si>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</si>
  <si>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</si>
  <si>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</si>
  <si>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</si>
  <si>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</si>
  <si>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</si>
  <si>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</si>
  <si>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</si>
  <si>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</si>
  <si>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</si>
  <si>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</si>
  <si>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</si>
  <si>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</si>
  <si>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</si>
  <si>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</si>
  <si>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</si>
  <si>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</si>
  <si>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</si>
  <si>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</si>
  <si>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</si>
  <si>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</si>
  <si>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</si>
  <si>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</si>
  <si>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</si>
  <si>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</si>
  <si>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</si>
  <si>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</si>
  <si>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020 00 00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</si>
  <si>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</si>
  <si>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</si>
  <si>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</si>
  <si>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</si>
  <si>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</si>
  <si>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</si>
  <si>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</si>
  <si>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</si>
  <si>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</si>
  <si>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</si>
  <si>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</si>
  <si>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</si>
  <si>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</si>
  <si>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</si>
  <si>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</si>
  <si>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</si>
  <si>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</si>
  <si>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</si>
  <si>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</si>
  <si>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</si>
  <si>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</si>
  <si>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</si>
  <si>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</si>
  <si>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</si>
  <si>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 xml:space="preserve">Субсидии на возмещение затрат на  обеспечение дошкольного образования 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</si>
  <si>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</si>
  <si>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</si>
  <si>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Сумма, тыс.руб. </t>
  </si>
  <si>
    <t>всего</t>
  </si>
  <si>
    <t xml:space="preserve">В том числе средства вышестоящих бюджетов </t>
  </si>
  <si>
    <t>Иные безвозмездные и безвозвратные перечисления</t>
  </si>
  <si>
    <t>520 00 00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</si>
  <si>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</si>
  <si>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</si>
  <si>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</si>
  <si>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</si>
  <si>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</si>
  <si>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</si>
  <si>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Связь и информатика</t>
  </si>
  <si>
    <t>Информационные технологии и связь</t>
  </si>
  <si>
    <t>330 00 00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</si>
  <si>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</si>
  <si>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</si>
  <si>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</si>
  <si>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</si>
  <si>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</si>
  <si>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</si>
  <si>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Обеспечение мер социальной поддержки ветеранов труда</t>
  </si>
  <si>
    <t>505 31 10</t>
  </si>
  <si>
    <t>Обеспечение мер социальной поддержки тружеников тыла</t>
  </si>
  <si>
    <t>505 31 20</t>
  </si>
  <si>
    <t>Обеспечение мер социальной поддержки реабилитированных лиц и лиц, признанных пострадавшими от политических репрессий</t>
  </si>
  <si>
    <t>505 47 00</t>
  </si>
  <si>
    <t>Мероприятия в области образования</t>
  </si>
  <si>
    <t>340 04 00</t>
  </si>
  <si>
    <t>Мероприятия в области гражданской промышленности</t>
  </si>
  <si>
    <t>500</t>
  </si>
  <si>
    <t>Выполнение функций органами местного самоуправления</t>
  </si>
  <si>
    <t>400 00 00</t>
  </si>
  <si>
    <t>Мероприятия по сбору и удалению твердых и жидких отходов</t>
  </si>
  <si>
    <t>Сбор, удаление отходов и очистка сточных вод</t>
  </si>
  <si>
    <t>505 34 00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</si>
  <si>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</si>
  <si>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</si>
  <si>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</si>
  <si>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431 00 01</t>
  </si>
  <si>
    <t>Субсидии на возмещение затрат по утилизации твердых бытовых отходов</t>
  </si>
  <si>
    <t>Субсидии на возмещение затрат по техническому сопровождению работ по благоустройству территории городского округа</t>
  </si>
  <si>
    <t>600 00 06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</si>
  <si>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</si>
  <si>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</si>
  <si>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>104 02 00</t>
  </si>
  <si>
    <t xml:space="preserve">Региональные целевые программы </t>
  </si>
  <si>
    <t>522 06 02</t>
  </si>
  <si>
    <t>098 02 00</t>
  </si>
  <si>
    <t>098 02 01</t>
  </si>
  <si>
    <t>город</t>
  </si>
  <si>
    <t>обл. и фед.</t>
  </si>
  <si>
    <t>Постановление №</t>
  </si>
  <si>
    <t>перемещения</t>
  </si>
  <si>
    <t xml:space="preserve">к решению Думы </t>
  </si>
  <si>
    <t>795 00 03</t>
  </si>
  <si>
    <t>795 00 04</t>
  </si>
  <si>
    <t>Постановление №1086 от 18.02.2009</t>
  </si>
  <si>
    <t>505 55 20</t>
  </si>
  <si>
    <t>505 55 30</t>
  </si>
  <si>
    <t>491 00 00</t>
  </si>
  <si>
    <t>транспортный налог</t>
  </si>
  <si>
    <t>налог на имущ.</t>
  </si>
  <si>
    <t>Обеспечение мер социальной поддержки ветеранов труда и тружеников тыла</t>
  </si>
  <si>
    <t>505 55 21</t>
  </si>
  <si>
    <t>505 55 22</t>
  </si>
  <si>
    <t xml:space="preserve">Обеспечение мер социальной поддержки ветеранов труда </t>
  </si>
  <si>
    <t>Обеспечение мер социальной поддержки  тружеников тыла</t>
  </si>
  <si>
    <t>Постановление №42 от 01.04.09</t>
  </si>
  <si>
    <t>вышестоящ.</t>
  </si>
  <si>
    <t>остатки</t>
  </si>
  <si>
    <t>изменение бюдж.классиф.</t>
  </si>
  <si>
    <t>секвестр</t>
  </si>
  <si>
    <t>Водное хозяйство</t>
  </si>
  <si>
    <t>Мероприятия в области государственной бюджетной политики</t>
  </si>
  <si>
    <t>Малое и среднее предпринимательство</t>
  </si>
  <si>
    <t>Обеспечение мероприятий по долевому софинансированию капитального ремонта многоквартирных домов в части помещений муниципальной собственности</t>
  </si>
  <si>
    <t>350 00 04</t>
  </si>
  <si>
    <t>098 01 00</t>
  </si>
  <si>
    <t>098 01 01</t>
  </si>
  <si>
    <t xml:space="preserve">098 00 00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</si>
  <si>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</si>
  <si>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</si>
  <si>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</si>
  <si>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</si>
  <si>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</si>
  <si>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</si>
  <si>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</si>
  <si>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</si>
  <si>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 за счет средств бюджетов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</si>
  <si>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</si>
  <si>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</si>
  <si>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</si>
  <si>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 xml:space="preserve">351 00 02 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</si>
  <si>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</si>
  <si>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гарантии</t>
  </si>
  <si>
    <t>Постановление №58 от 29.04.2009</t>
  </si>
  <si>
    <t>Сумма, тыс.руб.</t>
  </si>
  <si>
    <t xml:space="preserve">795 01 00 </t>
  </si>
  <si>
    <t xml:space="preserve">795 01 01 </t>
  </si>
  <si>
    <t>Субсидии на возмещение затрат по установке коллективных (общедомовых) приборов учета в многоквартирных домах городского округа Тольятти</t>
  </si>
  <si>
    <t>450 06 00</t>
  </si>
  <si>
    <t>Комплектование книжных фондов библиотек муниципальных образований</t>
  </si>
  <si>
    <t>налог на имущество</t>
  </si>
  <si>
    <t>092 00 01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</si>
  <si>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</si>
  <si>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</si>
  <si>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</si>
  <si>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</si>
  <si>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351 00 04 </t>
  </si>
  <si>
    <t xml:space="preserve">351 00 05 </t>
  </si>
  <si>
    <t>Субсидии на возмещение затрат по капитальному ремонту внутридомового электрооборудования в многоквартирных домах</t>
  </si>
  <si>
    <t>Перемещения</t>
  </si>
  <si>
    <t>Обл. и фед.</t>
  </si>
  <si>
    <t>795 02 00</t>
  </si>
  <si>
    <t>Постановление №123 от 01.07.09</t>
  </si>
  <si>
    <t>520 13 00</t>
  </si>
  <si>
    <t>Содержание ребенка в семье опекуна и приемной семье, а также вознаграждение, причитающееся приемному родителю</t>
  </si>
  <si>
    <t>505 34 01</t>
  </si>
  <si>
    <t>505 34 02</t>
  </si>
  <si>
    <t xml:space="preserve">Субсидия на возмещение затрат на реализацию имиджевого проекта молодежного симфонического оркестра Поволжья, способствующего популяризации музыкального исполнительского  искусства, продвижению творческого потенциала молодежи  </t>
  </si>
  <si>
    <t xml:space="preserve">351 00 06 </t>
  </si>
  <si>
    <t>дополнительно</t>
  </si>
  <si>
    <t>по результатам соглас.комиссии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</si>
  <si>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лиц,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</si>
  <si>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</si>
  <si>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Совершенствование организации питания учащихся в общеобразовательных учреждениях</t>
  </si>
  <si>
    <t>436 12 00</t>
  </si>
  <si>
    <t xml:space="preserve">Постановление №144 от 25.09.2009г. </t>
  </si>
  <si>
    <t>Сумма (тыс.руб.)</t>
  </si>
  <si>
    <t>Функционирование высшего должностного лица субъекта Российской Федерации и муниципального образования</t>
  </si>
  <si>
    <t>Всего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</si>
  <si>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</si>
  <si>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</si>
  <si>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</si>
  <si>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Субсидии юридическим лицам на возмещение затрат за оказание инновационных общественно значимых социальных услуг</t>
  </si>
  <si>
    <t>ДЦП «Модернизация и развитие автомобильных дорог местного значения городского округа Тольятти на 2009-2015 годы»</t>
  </si>
  <si>
    <t xml:space="preserve">Субсидии на возмещение затрат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 и 2011 годов»  </t>
  </si>
  <si>
    <t>Подпрограмма «Обеспечение жильем молодых семей»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</si>
  <si>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</si>
  <si>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 xml:space="preserve">Обеспечение жильем отдельных категорий граждан, установленных федеральным законом от 12.01.95г. № 5-ФЗ «О ветеранах», в соответствии с Указом Президента Российской Федерации от 07.05.2008г. № 714 «Об обеспечении жильем ветеранов Великой Отечественной войны 1941-1945 годов» </t>
  </si>
  <si>
    <t>ДЦП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</si>
  <si>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трансп.налог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</si>
  <si>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</si>
  <si>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</si>
  <si>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 xml:space="preserve">Субсидии на возмещение затрат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</si>
  <si>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>345 00 01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</si>
  <si>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</si>
  <si>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</si>
  <si>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</si>
  <si>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</si>
  <si>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Постановление №171</t>
  </si>
  <si>
    <t>экономия</t>
  </si>
  <si>
    <t>795 00 07</t>
  </si>
  <si>
    <t>Субсидия МАУ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</t>
  </si>
  <si>
    <t>Субсидия субъектам малого и среднего предпринимательства городского округа Тольятти - производителям товаров, работ, услуг в целях возмещения затрат в связи с производством товаров, выполнением работ, оказанием услуг в части расходов на приобретение основных средств</t>
  </si>
  <si>
    <t>795 00 08</t>
  </si>
  <si>
    <t>дополнит.</t>
  </si>
  <si>
    <t>600 00 07</t>
  </si>
  <si>
    <t>Субсидии юридическим лицам (за исключением государственных и муниципальных учреждений) - производителям работ, услуг, привлекающим граждан к выполнению общественных работ в сфере жилищно-коммунального хозяйства, дорожного хозяйства и транспорта, по благоустройству территорий городских округов и содержанию дорожных покрытий, в целях возмещения понесенных данными юридическими лицами материально-технических затрат, в связи с выполнением указанных работ, возникающих при выполнении полномочий органов местного самоуправления по вопросам местного значения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</si>
  <si>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</si>
  <si>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522 42 00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</si>
  <si>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</t>
    </r>
    <r>
      <rPr>
        <sz val="13"/>
        <rFont val="Arial"/>
        <family val="2"/>
      </rPr>
      <t>»</t>
    </r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</si>
  <si>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</si>
  <si>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</si>
  <si>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522 49 00</t>
  </si>
  <si>
    <t>522 08 00</t>
  </si>
  <si>
    <t>Кассовое                                                      исполнение</t>
  </si>
  <si>
    <t>% исполнения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</si>
  <si>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малого и среднего предпринимательства в Самарской области</t>
    </r>
    <r>
      <rPr>
        <sz val="13"/>
        <rFont val="Arial"/>
        <family val="2"/>
      </rPr>
      <t>»</t>
    </r>
  </si>
  <si>
    <t>Субсидии на возмещение затрат в рамках реализации ведомственной целевой программы «Пожарная безопасность на 2009-2011гг.»</t>
  </si>
  <si>
    <t xml:space="preserve">В том числе средства выше-стоящих бюджетов 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</si>
  <si>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и государственная поддержка малого предпринимательства Самарской области на 2004-2010гг.</t>
    </r>
    <r>
      <rPr>
        <sz val="13"/>
        <rFont val="Arial"/>
        <family val="2"/>
      </rPr>
      <t>»</t>
    </r>
  </si>
  <si>
    <t>Среднесписочная численность муниципальных служащих за 2009 год составила 983 чел., затраты на их денежное содержание - 341 190 тыс.руб.</t>
  </si>
  <si>
    <t>Среднесписочная численность работников муниципальных учреждений за 2009 год составила 12 753 чел., затраты на их денежное содержание -1 544 667 тыс.руб.</t>
  </si>
  <si>
    <t>городского округа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</si>
  <si>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</si>
  <si>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</si>
  <si>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Больницы, клиники, госпитали, медико-санитарные части</t>
  </si>
  <si>
    <t>Отчёт об исполнении бюджета городского округа Тольятти по разделам, подразделам  классификации расходов бюджетов за 2009 год</t>
  </si>
  <si>
    <t>Приложение №4</t>
  </si>
  <si>
    <t>02.06.2010г. № _____</t>
  </si>
  <si>
    <t>(тыс.руб.)</t>
  </si>
  <si>
    <t>И.о.председателя Думы</t>
  </si>
  <si>
    <t>В.И.Дуцев</t>
  </si>
  <si>
    <t xml:space="preserve">Утверждённый план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</si>
</sst>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3"/>
      <name val="Arial"/>
      <family val="2"/>
    </font>
    <font>
      <sz val="14"/>
      <color indexed="8"/>
      <name val="Times New Roman"/>
      <family val="1"/>
    </font>
    <font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3" fontId="9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181" fontId="6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3" fontId="12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 horizontal="center"/>
    </xf>
    <xf numFmtId="181" fontId="9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left" wrapText="1"/>
    </xf>
    <xf numFmtId="3" fontId="13" fillId="0" borderId="2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/>
    </xf>
    <xf numFmtId="181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" fontId="12" fillId="0" borderId="2" xfId="0" applyNumberFormat="1" applyFont="1" applyFill="1" applyBorder="1" applyAlignment="1">
      <alignment horizontal="center" wrapText="1"/>
    </xf>
    <xf numFmtId="3" fontId="12" fillId="0" borderId="2" xfId="21" applyNumberFormat="1" applyFont="1" applyFill="1" applyBorder="1" applyAlignment="1">
      <alignment horizontal="center"/>
    </xf>
    <xf numFmtId="3" fontId="12" fillId="0" borderId="2" xfId="21" applyNumberFormat="1" applyFont="1" applyFill="1" applyBorder="1" applyAlignment="1">
      <alignment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center" wrapText="1"/>
    </xf>
    <xf numFmtId="1" fontId="13" fillId="0" borderId="2" xfId="0" applyNumberFormat="1" applyFont="1" applyFill="1" applyBorder="1" applyAlignment="1">
      <alignment horizontal="center" wrapText="1"/>
    </xf>
    <xf numFmtId="3" fontId="13" fillId="0" borderId="2" xfId="21" applyNumberFormat="1" applyFont="1" applyFill="1" applyBorder="1" applyAlignment="1">
      <alignment horizontal="center"/>
    </xf>
    <xf numFmtId="3" fontId="13" fillId="0" borderId="2" xfId="21" applyNumberFormat="1" applyFont="1" applyFill="1" applyBorder="1" applyAlignment="1">
      <alignment/>
    </xf>
    <xf numFmtId="164" fontId="13" fillId="0" borderId="2" xfId="21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3" fontId="13" fillId="0" borderId="2" xfId="20" applyNumberFormat="1" applyFont="1" applyFill="1" applyBorder="1" applyAlignment="1">
      <alignment horizontal="center"/>
    </xf>
    <xf numFmtId="164" fontId="13" fillId="0" borderId="2" xfId="2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3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wrapText="1"/>
    </xf>
    <xf numFmtId="164" fontId="14" fillId="0" borderId="2" xfId="2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3" fontId="13" fillId="0" borderId="2" xfId="20" applyNumberFormat="1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/>
    </xf>
    <xf numFmtId="3" fontId="6" fillId="0" borderId="2" xfId="20" applyNumberFormat="1" applyFont="1" applyFill="1" applyBorder="1" applyAlignment="1">
      <alignment horizontal="center"/>
    </xf>
    <xf numFmtId="3" fontId="6" fillId="0" borderId="2" xfId="20" applyNumberFormat="1" applyFont="1" applyFill="1" applyBorder="1" applyAlignment="1">
      <alignment/>
    </xf>
    <xf numFmtId="164" fontId="6" fillId="0" borderId="2" xfId="2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left" wrapText="1"/>
    </xf>
    <xf numFmtId="3" fontId="20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wrapText="1"/>
    </xf>
    <xf numFmtId="0" fontId="22" fillId="0" borderId="2" xfId="0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1" fontId="23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1" fontId="11" fillId="0" borderId="2" xfId="0" applyNumberFormat="1" applyFont="1" applyFill="1" applyBorder="1" applyAlignment="1">
      <alignment horizontal="center" wrapText="1"/>
    </xf>
    <xf numFmtId="3" fontId="11" fillId="0" borderId="2" xfId="20" applyNumberFormat="1" applyFont="1" applyFill="1" applyBorder="1" applyAlignment="1">
      <alignment horizontal="center"/>
    </xf>
    <xf numFmtId="3" fontId="11" fillId="0" borderId="2" xfId="20" applyNumberFormat="1" applyFont="1" applyFill="1" applyBorder="1" applyAlignment="1">
      <alignment/>
    </xf>
    <xf numFmtId="3" fontId="6" fillId="0" borderId="2" xfId="21" applyNumberFormat="1" applyFont="1" applyFill="1" applyBorder="1" applyAlignment="1">
      <alignment horizontal="center"/>
    </xf>
    <xf numFmtId="3" fontId="6" fillId="0" borderId="2" xfId="21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 horizontal="center" wrapText="1"/>
    </xf>
    <xf numFmtId="164" fontId="9" fillId="0" borderId="2" xfId="2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164" fontId="12" fillId="0" borderId="2" xfId="20" applyNumberFormat="1" applyFont="1" applyFill="1" applyBorder="1" applyAlignment="1">
      <alignment horizontal="center"/>
    </xf>
    <xf numFmtId="164" fontId="22" fillId="0" borderId="2" xfId="20" applyNumberFormat="1" applyFont="1" applyFill="1" applyBorder="1" applyAlignment="1">
      <alignment horizontal="center"/>
    </xf>
    <xf numFmtId="3" fontId="22" fillId="0" borderId="2" xfId="20" applyNumberFormat="1" applyFont="1" applyFill="1" applyBorder="1" applyAlignment="1">
      <alignment horizontal="center"/>
    </xf>
    <xf numFmtId="164" fontId="24" fillId="0" borderId="2" xfId="2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/>
    </xf>
    <xf numFmtId="164" fontId="9" fillId="0" borderId="2" xfId="20" applyNumberFormat="1" applyFont="1" applyFill="1" applyBorder="1" applyAlignment="1">
      <alignment horizontal="center"/>
    </xf>
    <xf numFmtId="3" fontId="9" fillId="0" borderId="2" xfId="20" applyNumberFormat="1" applyFont="1" applyFill="1" applyBorder="1" applyAlignment="1">
      <alignment horizontal="center"/>
    </xf>
    <xf numFmtId="164" fontId="14" fillId="0" borderId="2" xfId="2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1" fontId="13" fillId="2" borderId="2" xfId="0" applyNumberFormat="1" applyFont="1" applyFill="1" applyBorder="1" applyAlignment="1">
      <alignment horizontal="center" wrapText="1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 horizontal="left" wrapText="1"/>
    </xf>
    <xf numFmtId="3" fontId="9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3" fontId="12" fillId="0" borderId="2" xfId="20" applyNumberFormat="1" applyFont="1" applyFill="1" applyBorder="1" applyAlignment="1">
      <alignment horizontal="center"/>
    </xf>
    <xf numFmtId="3" fontId="12" fillId="0" borderId="2" xfId="2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wrapText="1"/>
    </xf>
    <xf numFmtId="0" fontId="13" fillId="0" borderId="2" xfId="0" applyNumberFormat="1" applyFont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7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79"/>
  <sheetViews>
    <sheetView showZeros="0" tabSelected="1" view="pageBreakPreview" zoomScale="75" zoomScaleNormal="75" zoomScaleSheetLayoutView="75" workbookViewId="0" topLeftCell="A22">
      <selection activeCell="B23" sqref="B23"/>
    </sheetView>
  </sheetViews>
  <sheetFormatPr defaultColWidth="9.00390625" defaultRowHeight="12.75"/>
  <cols>
    <col min="1" max="1" width="48.75390625" style="3" customWidth="1"/>
    <col min="2" max="2" width="11.375" style="4" customWidth="1"/>
    <col min="3" max="3" width="10.75390625" style="4" customWidth="1"/>
    <col min="4" max="4" width="16.25390625" style="5" hidden="1" customWidth="1"/>
    <col min="5" max="5" width="11.25390625" style="4" hidden="1" customWidth="1"/>
    <col min="6" max="6" width="17.75390625" style="6" hidden="1" customWidth="1"/>
    <col min="7" max="7" width="10.75390625" style="1" hidden="1" customWidth="1"/>
    <col min="8" max="8" width="10.25390625" style="1" hidden="1" customWidth="1"/>
    <col min="9" max="9" width="6.125" style="1" hidden="1" customWidth="1"/>
    <col min="10" max="10" width="8.625" style="1" hidden="1" customWidth="1"/>
    <col min="11" max="11" width="8.00390625" style="1" hidden="1" customWidth="1"/>
    <col min="12" max="12" width="7.625" style="1" hidden="1" customWidth="1"/>
    <col min="13" max="13" width="18.125" style="1" hidden="1" customWidth="1"/>
    <col min="14" max="14" width="13.875" style="1" hidden="1" customWidth="1"/>
    <col min="15" max="15" width="5.00390625" style="1" hidden="1" customWidth="1"/>
    <col min="16" max="16" width="7.125" style="1" hidden="1" customWidth="1"/>
    <col min="17" max="17" width="1.37890625" style="1" hidden="1" customWidth="1"/>
    <col min="18" max="18" width="2.125" style="1" hidden="1" customWidth="1"/>
    <col min="19" max="19" width="2.25390625" style="1" hidden="1" customWidth="1"/>
    <col min="20" max="20" width="3.25390625" style="1" hidden="1" customWidth="1"/>
    <col min="21" max="21" width="3.00390625" style="1" hidden="1" customWidth="1"/>
    <col min="22" max="23" width="2.00390625" style="1" hidden="1" customWidth="1"/>
    <col min="24" max="24" width="2.625" style="1" hidden="1" customWidth="1"/>
    <col min="25" max="25" width="2.25390625" style="1" hidden="1" customWidth="1"/>
    <col min="26" max="26" width="2.00390625" style="1" hidden="1" customWidth="1"/>
    <col min="27" max="27" width="3.00390625" style="1" hidden="1" customWidth="1"/>
    <col min="28" max="28" width="2.625" style="1" hidden="1" customWidth="1"/>
    <col min="29" max="29" width="4.00390625" style="1" hidden="1" customWidth="1"/>
    <col min="30" max="30" width="3.875" style="1" hidden="1" customWidth="1"/>
    <col min="31" max="31" width="10.75390625" style="1" hidden="1" customWidth="1"/>
    <col min="32" max="32" width="3.375" style="1" hidden="1" customWidth="1"/>
    <col min="33" max="33" width="4.25390625" style="1" hidden="1" customWidth="1"/>
    <col min="34" max="34" width="4.00390625" style="1" hidden="1" customWidth="1"/>
    <col min="35" max="36" width="13.875" style="1" hidden="1" customWidth="1"/>
    <col min="37" max="37" width="5.875" style="1" hidden="1" customWidth="1"/>
    <col min="38" max="38" width="9.25390625" style="1" hidden="1" customWidth="1"/>
    <col min="39" max="39" width="5.75390625" style="1" hidden="1" customWidth="1"/>
    <col min="40" max="40" width="3.375" style="1" hidden="1" customWidth="1"/>
    <col min="41" max="41" width="3.75390625" style="1" hidden="1" customWidth="1"/>
    <col min="42" max="42" width="3.00390625" style="1" hidden="1" customWidth="1"/>
    <col min="43" max="43" width="12.00390625" style="1" hidden="1" customWidth="1"/>
    <col min="44" max="44" width="12.25390625" style="1" hidden="1" customWidth="1"/>
    <col min="45" max="45" width="10.75390625" style="1" hidden="1" customWidth="1"/>
    <col min="46" max="46" width="8.25390625" style="7" hidden="1" customWidth="1"/>
    <col min="47" max="47" width="11.25390625" style="7" hidden="1" customWidth="1"/>
    <col min="48" max="48" width="8.25390625" style="7" hidden="1" customWidth="1"/>
    <col min="49" max="49" width="4.00390625" style="7" hidden="1" customWidth="1"/>
    <col min="50" max="50" width="5.125" style="7" hidden="1" customWidth="1"/>
    <col min="51" max="51" width="14.00390625" style="1" hidden="1" customWidth="1"/>
    <col min="52" max="52" width="6.375" style="1" hidden="1" customWidth="1"/>
    <col min="53" max="53" width="7.00390625" style="1" hidden="1" customWidth="1"/>
    <col min="54" max="54" width="4.75390625" style="1" hidden="1" customWidth="1"/>
    <col min="55" max="55" width="5.75390625" style="1" hidden="1" customWidth="1"/>
    <col min="56" max="56" width="17.125" style="1" hidden="1" customWidth="1"/>
    <col min="57" max="57" width="0.2421875" style="1" hidden="1" customWidth="1"/>
    <col min="58" max="58" width="8.75390625" style="1" hidden="1" customWidth="1"/>
    <col min="59" max="59" width="8.875" style="1" hidden="1" customWidth="1"/>
    <col min="60" max="60" width="6.625" style="1" hidden="1" customWidth="1"/>
    <col min="61" max="61" width="8.875" style="1" hidden="1" customWidth="1"/>
    <col min="62" max="62" width="2.625" style="1" hidden="1" customWidth="1"/>
    <col min="63" max="63" width="12.75390625" style="1" hidden="1" customWidth="1"/>
    <col min="64" max="64" width="10.00390625" style="1" hidden="1" customWidth="1"/>
    <col min="65" max="65" width="12.875" style="1" hidden="1" customWidth="1"/>
    <col min="66" max="66" width="10.125" style="1" hidden="1" customWidth="1"/>
    <col min="67" max="67" width="16.375" style="2" hidden="1" customWidth="1"/>
    <col min="68" max="68" width="2.25390625" style="2" hidden="1" customWidth="1"/>
    <col min="69" max="69" width="4.625" style="2" hidden="1" customWidth="1"/>
    <col min="70" max="70" width="11.125" style="2" hidden="1" customWidth="1"/>
    <col min="71" max="71" width="11.875" style="2" hidden="1" customWidth="1"/>
    <col min="72" max="72" width="16.375" style="2" hidden="1" customWidth="1"/>
    <col min="73" max="73" width="18.75390625" style="2" customWidth="1"/>
    <col min="74" max="74" width="17.00390625" style="2" customWidth="1"/>
    <col min="75" max="75" width="18.625" style="2" customWidth="1"/>
    <col min="76" max="76" width="17.00390625" style="2" customWidth="1"/>
    <col min="77" max="77" width="17.875" style="2" customWidth="1"/>
    <col min="78" max="78" width="17.125" style="2" customWidth="1"/>
    <col min="79" max="16384" width="9.125" style="2" customWidth="1"/>
  </cols>
  <sheetData>
    <row r="1" spans="1:62" ht="14.25" customHeight="1">
      <c r="A1" s="30"/>
      <c r="B1" s="31"/>
      <c r="C1" s="31"/>
      <c r="D1" s="32"/>
      <c r="E1" s="31"/>
      <c r="F1" s="2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29"/>
      <c r="AU1" s="29"/>
      <c r="AV1" s="29"/>
      <c r="AW1" s="29"/>
      <c r="AX1" s="29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spans="2:96" s="8" customFormat="1" ht="18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W2" s="28"/>
      <c r="BX2" s="28"/>
      <c r="BY2" s="44"/>
      <c r="BZ2" s="45" t="s">
        <v>407</v>
      </c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</row>
    <row r="3" spans="2:96" s="8" customFormat="1" ht="19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W3" s="28"/>
      <c r="BX3" s="28"/>
      <c r="BY3" s="44"/>
      <c r="BZ3" s="45" t="s">
        <v>281</v>
      </c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</row>
    <row r="4" spans="2:96" s="8" customFormat="1" ht="21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W4" s="28"/>
      <c r="BX4" s="28"/>
      <c r="BY4" s="44"/>
      <c r="BZ4" s="45" t="s">
        <v>408</v>
      </c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</row>
    <row r="5" spans="6:78" s="8" customFormat="1" ht="21" customHeight="1"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Y5" s="46"/>
      <c r="BZ5" s="46"/>
    </row>
    <row r="6" spans="1:78" ht="14.25" customHeight="1">
      <c r="A6" s="240" t="s">
        <v>406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</row>
    <row r="7" spans="1:78" ht="14.25" customHeigh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</row>
    <row r="8" spans="1:78" ht="22.5" customHeight="1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</row>
    <row r="10" ht="16.5" thickBot="1">
      <c r="BZ10" s="34" t="s">
        <v>409</v>
      </c>
    </row>
    <row r="11" spans="1:78" ht="39.75" customHeight="1" thickBot="1">
      <c r="A11" s="199" t="s">
        <v>12</v>
      </c>
      <c r="B11" s="226" t="s">
        <v>125</v>
      </c>
      <c r="C11" s="194" t="s">
        <v>126</v>
      </c>
      <c r="D11" s="199" t="s">
        <v>13</v>
      </c>
      <c r="E11" s="194" t="s">
        <v>14</v>
      </c>
      <c r="F11" s="216">
        <v>2009</v>
      </c>
      <c r="G11" s="234" t="s">
        <v>228</v>
      </c>
      <c r="H11" s="235"/>
      <c r="I11" s="236"/>
      <c r="J11" s="223" t="s">
        <v>284</v>
      </c>
      <c r="K11" s="224"/>
      <c r="L11" s="225"/>
      <c r="M11" s="192" t="s">
        <v>228</v>
      </c>
      <c r="N11" s="193"/>
      <c r="O11" s="223" t="s">
        <v>295</v>
      </c>
      <c r="P11" s="224"/>
      <c r="Q11" s="224"/>
      <c r="R11" s="225"/>
      <c r="S11" s="192" t="s">
        <v>228</v>
      </c>
      <c r="T11" s="193"/>
      <c r="U11" s="192" t="s">
        <v>279</v>
      </c>
      <c r="V11" s="196"/>
      <c r="W11" s="196"/>
      <c r="X11" s="196"/>
      <c r="Y11" s="196"/>
      <c r="Z11" s="196"/>
      <c r="AA11" s="193"/>
      <c r="AB11" s="192" t="s">
        <v>228</v>
      </c>
      <c r="AC11" s="193"/>
      <c r="AD11" s="203" t="s">
        <v>279</v>
      </c>
      <c r="AE11" s="204"/>
      <c r="AF11" s="204"/>
      <c r="AG11" s="204"/>
      <c r="AH11" s="205"/>
      <c r="AI11" s="192" t="s">
        <v>228</v>
      </c>
      <c r="AJ11" s="193"/>
      <c r="AK11" s="27" t="s">
        <v>323</v>
      </c>
      <c r="AL11" s="192" t="s">
        <v>228</v>
      </c>
      <c r="AM11" s="193"/>
      <c r="AN11" s="203" t="s">
        <v>279</v>
      </c>
      <c r="AO11" s="204"/>
      <c r="AP11" s="204"/>
      <c r="AQ11" s="205"/>
      <c r="AR11" s="190" t="s">
        <v>324</v>
      </c>
      <c r="AS11" s="191"/>
      <c r="AT11" s="210" t="s">
        <v>342</v>
      </c>
      <c r="AU11" s="211"/>
      <c r="AV11" s="212"/>
      <c r="AW11" s="190" t="s">
        <v>324</v>
      </c>
      <c r="AX11" s="191"/>
      <c r="AY11" s="192" t="s">
        <v>355</v>
      </c>
      <c r="AZ11" s="196"/>
      <c r="BA11" s="196"/>
      <c r="BB11" s="196"/>
      <c r="BC11" s="193"/>
      <c r="BD11" s="190" t="s">
        <v>324</v>
      </c>
      <c r="BE11" s="191"/>
      <c r="BF11" s="192" t="s">
        <v>279</v>
      </c>
      <c r="BG11" s="196"/>
      <c r="BH11" s="193"/>
      <c r="BI11" s="190" t="s">
        <v>356</v>
      </c>
      <c r="BJ11" s="191"/>
      <c r="BK11" s="203" t="s">
        <v>378</v>
      </c>
      <c r="BL11" s="204"/>
      <c r="BM11" s="204"/>
      <c r="BN11" s="205"/>
      <c r="BO11" s="190" t="s">
        <v>356</v>
      </c>
      <c r="BP11" s="191"/>
      <c r="BQ11" s="220" t="s">
        <v>279</v>
      </c>
      <c r="BR11" s="221"/>
      <c r="BS11" s="221"/>
      <c r="BT11" s="222"/>
      <c r="BU11" s="241" t="s">
        <v>412</v>
      </c>
      <c r="BV11" s="242"/>
      <c r="BW11" s="192" t="s">
        <v>394</v>
      </c>
      <c r="BX11" s="193"/>
      <c r="BY11" s="203" t="s">
        <v>395</v>
      </c>
      <c r="BZ11" s="205"/>
    </row>
    <row r="12" spans="1:78" ht="26.25" customHeight="1" thickBot="1">
      <c r="A12" s="200"/>
      <c r="B12" s="227"/>
      <c r="C12" s="195"/>
      <c r="D12" s="200"/>
      <c r="E12" s="195"/>
      <c r="F12" s="217"/>
      <c r="G12" s="199" t="s">
        <v>205</v>
      </c>
      <c r="H12" s="199" t="s">
        <v>229</v>
      </c>
      <c r="I12" s="199" t="s">
        <v>230</v>
      </c>
      <c r="J12" s="228" t="s">
        <v>277</v>
      </c>
      <c r="K12" s="229"/>
      <c r="L12" s="230" t="s">
        <v>278</v>
      </c>
      <c r="M12" s="199" t="s">
        <v>229</v>
      </c>
      <c r="N12" s="199" t="s">
        <v>230</v>
      </c>
      <c r="O12" s="228" t="s">
        <v>277</v>
      </c>
      <c r="P12" s="229"/>
      <c r="Q12" s="229"/>
      <c r="R12" s="216" t="s">
        <v>278</v>
      </c>
      <c r="S12" s="208" t="s">
        <v>229</v>
      </c>
      <c r="T12" s="199" t="s">
        <v>230</v>
      </c>
      <c r="U12" s="220" t="s">
        <v>277</v>
      </c>
      <c r="V12" s="221"/>
      <c r="W12" s="221"/>
      <c r="X12" s="221"/>
      <c r="Y12" s="222"/>
      <c r="Z12" s="221" t="s">
        <v>296</v>
      </c>
      <c r="AA12" s="222"/>
      <c r="AB12" s="208" t="s">
        <v>229</v>
      </c>
      <c r="AC12" s="199" t="s">
        <v>230</v>
      </c>
      <c r="AD12" s="203" t="s">
        <v>277</v>
      </c>
      <c r="AE12" s="204"/>
      <c r="AF12" s="204"/>
      <c r="AG12" s="205"/>
      <c r="AH12" s="201" t="s">
        <v>278</v>
      </c>
      <c r="AI12" s="199" t="s">
        <v>229</v>
      </c>
      <c r="AJ12" s="199" t="s">
        <v>230</v>
      </c>
      <c r="AK12" s="201" t="s">
        <v>322</v>
      </c>
      <c r="AL12" s="199" t="s">
        <v>229</v>
      </c>
      <c r="AM12" s="199" t="s">
        <v>230</v>
      </c>
      <c r="AN12" s="213" t="s">
        <v>277</v>
      </c>
      <c r="AO12" s="214"/>
      <c r="AP12" s="215"/>
      <c r="AQ12" s="201" t="s">
        <v>278</v>
      </c>
      <c r="AR12" s="201" t="s">
        <v>229</v>
      </c>
      <c r="AS12" s="199" t="s">
        <v>230</v>
      </c>
      <c r="AT12" s="206" t="s">
        <v>339</v>
      </c>
      <c r="AU12" s="206" t="s">
        <v>339</v>
      </c>
      <c r="AV12" s="206" t="s">
        <v>340</v>
      </c>
      <c r="AW12" s="201" t="s">
        <v>229</v>
      </c>
      <c r="AX12" s="199" t="s">
        <v>230</v>
      </c>
      <c r="AY12" s="220" t="s">
        <v>277</v>
      </c>
      <c r="AZ12" s="221"/>
      <c r="BA12" s="222"/>
      <c r="BB12" s="199" t="s">
        <v>350</v>
      </c>
      <c r="BC12" s="208" t="s">
        <v>278</v>
      </c>
      <c r="BD12" s="199" t="s">
        <v>229</v>
      </c>
      <c r="BE12" s="199" t="s">
        <v>230</v>
      </c>
      <c r="BF12" s="220" t="s">
        <v>277</v>
      </c>
      <c r="BG12" s="222"/>
      <c r="BH12" s="208" t="s">
        <v>278</v>
      </c>
      <c r="BI12" s="199" t="s">
        <v>358</v>
      </c>
      <c r="BJ12" s="199" t="s">
        <v>230</v>
      </c>
      <c r="BK12" s="220" t="s">
        <v>277</v>
      </c>
      <c r="BL12" s="221"/>
      <c r="BM12" s="221"/>
      <c r="BN12" s="199" t="s">
        <v>278</v>
      </c>
      <c r="BO12" s="232" t="s">
        <v>358</v>
      </c>
      <c r="BP12" s="199" t="s">
        <v>230</v>
      </c>
      <c r="BQ12" s="203" t="s">
        <v>277</v>
      </c>
      <c r="BR12" s="204"/>
      <c r="BS12" s="205"/>
      <c r="BT12" s="201" t="s">
        <v>278</v>
      </c>
      <c r="BU12" s="199" t="s">
        <v>358</v>
      </c>
      <c r="BV12" s="199" t="s">
        <v>398</v>
      </c>
      <c r="BW12" s="199" t="s">
        <v>358</v>
      </c>
      <c r="BX12" s="199" t="s">
        <v>398</v>
      </c>
      <c r="BY12" s="199" t="s">
        <v>358</v>
      </c>
      <c r="BZ12" s="199" t="s">
        <v>398</v>
      </c>
    </row>
    <row r="13" spans="1:78" ht="19.5" customHeight="1">
      <c r="A13" s="200"/>
      <c r="B13" s="227"/>
      <c r="C13" s="195"/>
      <c r="D13" s="200"/>
      <c r="E13" s="195"/>
      <c r="F13" s="217"/>
      <c r="G13" s="200"/>
      <c r="H13" s="200"/>
      <c r="I13" s="200"/>
      <c r="J13" s="230" t="s">
        <v>280</v>
      </c>
      <c r="K13" s="216"/>
      <c r="L13" s="198"/>
      <c r="M13" s="200"/>
      <c r="N13" s="200"/>
      <c r="O13" s="216" t="s">
        <v>280</v>
      </c>
      <c r="P13" s="216" t="s">
        <v>288</v>
      </c>
      <c r="Q13" s="197" t="s">
        <v>289</v>
      </c>
      <c r="R13" s="217"/>
      <c r="S13" s="209"/>
      <c r="T13" s="200"/>
      <c r="U13" s="216" t="s">
        <v>288</v>
      </c>
      <c r="V13" s="197" t="s">
        <v>289</v>
      </c>
      <c r="W13" s="201" t="s">
        <v>298</v>
      </c>
      <c r="X13" s="199" t="s">
        <v>299</v>
      </c>
      <c r="Y13" s="199" t="s">
        <v>280</v>
      </c>
      <c r="Z13" s="208" t="s">
        <v>297</v>
      </c>
      <c r="AA13" s="199" t="s">
        <v>278</v>
      </c>
      <c r="AB13" s="209"/>
      <c r="AC13" s="200"/>
      <c r="AD13" s="216" t="s">
        <v>288</v>
      </c>
      <c r="AE13" s="197" t="s">
        <v>289</v>
      </c>
      <c r="AF13" s="199" t="s">
        <v>299</v>
      </c>
      <c r="AG13" s="218"/>
      <c r="AH13" s="209"/>
      <c r="AI13" s="200"/>
      <c r="AJ13" s="200"/>
      <c r="AK13" s="202"/>
      <c r="AL13" s="200"/>
      <c r="AM13" s="200"/>
      <c r="AN13" s="201" t="s">
        <v>280</v>
      </c>
      <c r="AO13" s="199" t="s">
        <v>330</v>
      </c>
      <c r="AP13" s="199" t="s">
        <v>288</v>
      </c>
      <c r="AQ13" s="209"/>
      <c r="AR13" s="202"/>
      <c r="AS13" s="200"/>
      <c r="AT13" s="207"/>
      <c r="AU13" s="207"/>
      <c r="AV13" s="207"/>
      <c r="AW13" s="202"/>
      <c r="AX13" s="200"/>
      <c r="AY13" s="202" t="s">
        <v>299</v>
      </c>
      <c r="AZ13" s="200" t="s">
        <v>280</v>
      </c>
      <c r="BA13" s="199" t="s">
        <v>349</v>
      </c>
      <c r="BB13" s="200"/>
      <c r="BC13" s="209"/>
      <c r="BD13" s="200"/>
      <c r="BE13" s="200"/>
      <c r="BF13" s="201" t="s">
        <v>280</v>
      </c>
      <c r="BG13" s="199"/>
      <c r="BH13" s="209"/>
      <c r="BI13" s="200"/>
      <c r="BJ13" s="200"/>
      <c r="BK13" s="201" t="s">
        <v>330</v>
      </c>
      <c r="BL13" s="199" t="s">
        <v>369</v>
      </c>
      <c r="BM13" s="208" t="s">
        <v>280</v>
      </c>
      <c r="BN13" s="200"/>
      <c r="BO13" s="233"/>
      <c r="BP13" s="200"/>
      <c r="BQ13" s="201" t="s">
        <v>379</v>
      </c>
      <c r="BR13" s="199" t="s">
        <v>384</v>
      </c>
      <c r="BS13" s="199" t="s">
        <v>280</v>
      </c>
      <c r="BT13" s="209"/>
      <c r="BU13" s="200"/>
      <c r="BV13" s="200"/>
      <c r="BW13" s="200"/>
      <c r="BX13" s="200"/>
      <c r="BY13" s="200"/>
      <c r="BZ13" s="200"/>
    </row>
    <row r="14" spans="1:78" ht="19.5" customHeight="1">
      <c r="A14" s="200"/>
      <c r="B14" s="227"/>
      <c r="C14" s="195"/>
      <c r="D14" s="200"/>
      <c r="E14" s="195"/>
      <c r="F14" s="217"/>
      <c r="G14" s="200"/>
      <c r="H14" s="200"/>
      <c r="I14" s="200"/>
      <c r="J14" s="231"/>
      <c r="K14" s="217"/>
      <c r="L14" s="198"/>
      <c r="M14" s="200"/>
      <c r="N14" s="200"/>
      <c r="O14" s="217"/>
      <c r="P14" s="217"/>
      <c r="Q14" s="198"/>
      <c r="R14" s="217"/>
      <c r="S14" s="209"/>
      <c r="T14" s="200"/>
      <c r="U14" s="217"/>
      <c r="V14" s="198"/>
      <c r="W14" s="202"/>
      <c r="X14" s="200"/>
      <c r="Y14" s="200"/>
      <c r="Z14" s="209"/>
      <c r="AA14" s="200"/>
      <c r="AB14" s="209"/>
      <c r="AC14" s="200"/>
      <c r="AD14" s="217"/>
      <c r="AE14" s="198"/>
      <c r="AF14" s="200"/>
      <c r="AG14" s="219"/>
      <c r="AH14" s="209"/>
      <c r="AI14" s="200"/>
      <c r="AJ14" s="200"/>
      <c r="AK14" s="202"/>
      <c r="AL14" s="200"/>
      <c r="AM14" s="200"/>
      <c r="AN14" s="202"/>
      <c r="AO14" s="200"/>
      <c r="AP14" s="200"/>
      <c r="AQ14" s="209"/>
      <c r="AR14" s="202"/>
      <c r="AS14" s="200"/>
      <c r="AT14" s="207"/>
      <c r="AU14" s="207"/>
      <c r="AV14" s="207"/>
      <c r="AW14" s="202"/>
      <c r="AX14" s="200"/>
      <c r="AY14" s="202"/>
      <c r="AZ14" s="200"/>
      <c r="BA14" s="200"/>
      <c r="BB14" s="200"/>
      <c r="BC14" s="209"/>
      <c r="BD14" s="200"/>
      <c r="BE14" s="200"/>
      <c r="BF14" s="202"/>
      <c r="BG14" s="200"/>
      <c r="BH14" s="209"/>
      <c r="BI14" s="200"/>
      <c r="BJ14" s="200"/>
      <c r="BK14" s="202"/>
      <c r="BL14" s="200"/>
      <c r="BM14" s="209"/>
      <c r="BN14" s="200"/>
      <c r="BO14" s="233"/>
      <c r="BP14" s="200"/>
      <c r="BQ14" s="202"/>
      <c r="BR14" s="200"/>
      <c r="BS14" s="200"/>
      <c r="BT14" s="209"/>
      <c r="BU14" s="200"/>
      <c r="BV14" s="200"/>
      <c r="BW14" s="200"/>
      <c r="BX14" s="200"/>
      <c r="BY14" s="200"/>
      <c r="BZ14" s="200"/>
    </row>
    <row r="15" spans="1:78" ht="58.5" customHeight="1">
      <c r="A15" s="200"/>
      <c r="B15" s="227"/>
      <c r="C15" s="195"/>
      <c r="D15" s="200"/>
      <c r="E15" s="195"/>
      <c r="F15" s="217"/>
      <c r="G15" s="200"/>
      <c r="H15" s="200"/>
      <c r="I15" s="200"/>
      <c r="J15" s="231"/>
      <c r="K15" s="217"/>
      <c r="L15" s="198"/>
      <c r="M15" s="200"/>
      <c r="N15" s="200"/>
      <c r="O15" s="217"/>
      <c r="P15" s="217"/>
      <c r="Q15" s="198"/>
      <c r="R15" s="217"/>
      <c r="S15" s="209"/>
      <c r="T15" s="200"/>
      <c r="U15" s="217"/>
      <c r="V15" s="198"/>
      <c r="W15" s="202"/>
      <c r="X15" s="200"/>
      <c r="Y15" s="200"/>
      <c r="Z15" s="209"/>
      <c r="AA15" s="200"/>
      <c r="AB15" s="209"/>
      <c r="AC15" s="200"/>
      <c r="AD15" s="217"/>
      <c r="AE15" s="198"/>
      <c r="AF15" s="200"/>
      <c r="AG15" s="219"/>
      <c r="AH15" s="209"/>
      <c r="AI15" s="200"/>
      <c r="AJ15" s="200"/>
      <c r="AK15" s="202"/>
      <c r="AL15" s="200"/>
      <c r="AM15" s="200"/>
      <c r="AN15" s="202"/>
      <c r="AO15" s="200"/>
      <c r="AP15" s="200"/>
      <c r="AQ15" s="209"/>
      <c r="AR15" s="202"/>
      <c r="AS15" s="200"/>
      <c r="AT15" s="207"/>
      <c r="AU15" s="207"/>
      <c r="AV15" s="207"/>
      <c r="AW15" s="202"/>
      <c r="AX15" s="200"/>
      <c r="AY15" s="202"/>
      <c r="AZ15" s="200"/>
      <c r="BA15" s="200"/>
      <c r="BB15" s="200"/>
      <c r="BC15" s="209"/>
      <c r="BD15" s="200"/>
      <c r="BE15" s="200"/>
      <c r="BF15" s="202"/>
      <c r="BG15" s="200"/>
      <c r="BH15" s="209"/>
      <c r="BI15" s="200"/>
      <c r="BJ15" s="200"/>
      <c r="BK15" s="202"/>
      <c r="BL15" s="200"/>
      <c r="BM15" s="209"/>
      <c r="BN15" s="200"/>
      <c r="BO15" s="233"/>
      <c r="BP15" s="200"/>
      <c r="BQ15" s="202"/>
      <c r="BR15" s="200"/>
      <c r="BS15" s="200"/>
      <c r="BT15" s="209"/>
      <c r="BU15" s="200"/>
      <c r="BV15" s="200"/>
      <c r="BW15" s="200"/>
      <c r="BX15" s="200"/>
      <c r="BY15" s="200"/>
      <c r="BZ15" s="200"/>
    </row>
    <row r="16" spans="1:78" ht="10.5" customHeight="1">
      <c r="A16" s="47"/>
      <c r="B16" s="48"/>
      <c r="C16" s="48"/>
      <c r="D16" s="49"/>
      <c r="E16" s="48"/>
      <c r="F16" s="50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0"/>
      <c r="AE16" s="50"/>
      <c r="AF16" s="52"/>
      <c r="AG16" s="50"/>
      <c r="AH16" s="50"/>
      <c r="AI16" s="50"/>
      <c r="AJ16" s="50"/>
      <c r="AK16" s="51"/>
      <c r="AL16" s="51"/>
      <c r="AM16" s="51"/>
      <c r="AN16" s="51"/>
      <c r="AO16" s="51"/>
      <c r="AP16" s="51"/>
      <c r="AQ16" s="51"/>
      <c r="AR16" s="51"/>
      <c r="AS16" s="51"/>
      <c r="AT16" s="53"/>
      <c r="AU16" s="53"/>
      <c r="AV16" s="53"/>
      <c r="AW16" s="53"/>
      <c r="AX16" s="53"/>
      <c r="AY16" s="52"/>
      <c r="AZ16" s="52"/>
      <c r="BA16" s="52"/>
      <c r="BB16" s="52"/>
      <c r="BC16" s="52"/>
      <c r="BD16" s="51"/>
      <c r="BE16" s="51"/>
      <c r="BF16" s="51"/>
      <c r="BG16" s="51"/>
      <c r="BH16" s="51"/>
      <c r="BI16" s="51"/>
      <c r="BJ16" s="51"/>
      <c r="BK16" s="54"/>
      <c r="BL16" s="54"/>
      <c r="BM16" s="54"/>
      <c r="BN16" s="54"/>
      <c r="BO16" s="54"/>
      <c r="BP16" s="54"/>
      <c r="BQ16" s="51"/>
      <c r="BR16" s="51"/>
      <c r="BS16" s="51"/>
      <c r="BT16" s="51"/>
      <c r="BU16" s="51"/>
      <c r="BV16" s="51"/>
      <c r="BW16" s="51"/>
      <c r="BX16" s="51"/>
      <c r="BY16" s="51"/>
      <c r="BZ16" s="51"/>
    </row>
    <row r="17" spans="1:78" s="10" customFormat="1" ht="39.75" customHeight="1">
      <c r="A17" s="55" t="s">
        <v>15</v>
      </c>
      <c r="B17" s="56" t="s">
        <v>16</v>
      </c>
      <c r="C17" s="56"/>
      <c r="D17" s="57"/>
      <c r="E17" s="56"/>
      <c r="F17" s="58">
        <f aca="true" t="shared" si="0" ref="F17:T17">F19+F23+F31+F35+F39+F43+F47</f>
        <v>860293</v>
      </c>
      <c r="G17" s="58">
        <f t="shared" si="0"/>
        <v>499335</v>
      </c>
      <c r="H17" s="58">
        <f t="shared" si="0"/>
        <v>1359628</v>
      </c>
      <c r="I17" s="58">
        <f t="shared" si="0"/>
        <v>151354</v>
      </c>
      <c r="J17" s="58">
        <f t="shared" si="0"/>
        <v>30000</v>
      </c>
      <c r="K17" s="58">
        <f t="shared" si="0"/>
        <v>0</v>
      </c>
      <c r="L17" s="58">
        <f t="shared" si="0"/>
        <v>0</v>
      </c>
      <c r="M17" s="58">
        <f t="shared" si="0"/>
        <v>1389628</v>
      </c>
      <c r="N17" s="58">
        <f t="shared" si="0"/>
        <v>151354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1389628</v>
      </c>
      <c r="T17" s="58">
        <f t="shared" si="0"/>
        <v>151354</v>
      </c>
      <c r="U17" s="58">
        <f aca="true" t="shared" si="1" ref="U17:AS17">U19+U23+U31+U35+U39+U43+U47</f>
        <v>0</v>
      </c>
      <c r="V17" s="58">
        <f t="shared" si="1"/>
        <v>0</v>
      </c>
      <c r="W17" s="58">
        <f t="shared" si="1"/>
        <v>0</v>
      </c>
      <c r="X17" s="58">
        <f t="shared" si="1"/>
        <v>0</v>
      </c>
      <c r="Y17" s="58">
        <f t="shared" si="1"/>
        <v>0</v>
      </c>
      <c r="Z17" s="58">
        <f t="shared" si="1"/>
        <v>-3090</v>
      </c>
      <c r="AA17" s="58">
        <f t="shared" si="1"/>
        <v>0</v>
      </c>
      <c r="AB17" s="58">
        <f t="shared" si="1"/>
        <v>1386538</v>
      </c>
      <c r="AC17" s="58">
        <f t="shared" si="1"/>
        <v>148264</v>
      </c>
      <c r="AD17" s="58">
        <f t="shared" si="1"/>
        <v>-146</v>
      </c>
      <c r="AE17" s="58">
        <f t="shared" si="1"/>
        <v>-54070</v>
      </c>
      <c r="AF17" s="58">
        <f t="shared" si="1"/>
        <v>-196527</v>
      </c>
      <c r="AG17" s="58">
        <f t="shared" si="1"/>
        <v>0</v>
      </c>
      <c r="AH17" s="58">
        <f t="shared" si="1"/>
        <v>0</v>
      </c>
      <c r="AI17" s="58">
        <f t="shared" si="1"/>
        <v>1135795</v>
      </c>
      <c r="AJ17" s="58">
        <f t="shared" si="1"/>
        <v>148264</v>
      </c>
      <c r="AK17" s="58">
        <f t="shared" si="1"/>
        <v>-30000</v>
      </c>
      <c r="AL17" s="58">
        <f t="shared" si="1"/>
        <v>1105795</v>
      </c>
      <c r="AM17" s="58">
        <f t="shared" si="1"/>
        <v>148264</v>
      </c>
      <c r="AN17" s="58">
        <f t="shared" si="1"/>
        <v>-2198</v>
      </c>
      <c r="AO17" s="58">
        <f t="shared" si="1"/>
        <v>-42084</v>
      </c>
      <c r="AP17" s="58">
        <f t="shared" si="1"/>
        <v>-82</v>
      </c>
      <c r="AQ17" s="58">
        <f t="shared" si="1"/>
        <v>-7226</v>
      </c>
      <c r="AR17" s="58">
        <f t="shared" si="1"/>
        <v>1054205</v>
      </c>
      <c r="AS17" s="58">
        <f t="shared" si="1"/>
        <v>141038</v>
      </c>
      <c r="AT17" s="59">
        <f aca="true" t="shared" si="2" ref="AT17:BE17">AT19+AT23+AT31+AT35+AT39+AT43+AT47</f>
        <v>0</v>
      </c>
      <c r="AU17" s="59">
        <f t="shared" si="2"/>
        <v>-491</v>
      </c>
      <c r="AV17" s="59">
        <f t="shared" si="2"/>
        <v>0</v>
      </c>
      <c r="AW17" s="59">
        <f t="shared" si="2"/>
        <v>1053714</v>
      </c>
      <c r="AX17" s="59">
        <f t="shared" si="2"/>
        <v>141038</v>
      </c>
      <c r="AY17" s="58">
        <f t="shared" si="2"/>
        <v>-46611</v>
      </c>
      <c r="AZ17" s="58">
        <f t="shared" si="2"/>
        <v>-720</v>
      </c>
      <c r="BA17" s="58">
        <f t="shared" si="2"/>
        <v>2810</v>
      </c>
      <c r="BB17" s="58">
        <f t="shared" si="2"/>
        <v>5013</v>
      </c>
      <c r="BC17" s="58">
        <f t="shared" si="2"/>
        <v>0</v>
      </c>
      <c r="BD17" s="58">
        <f t="shared" si="2"/>
        <v>1014206</v>
      </c>
      <c r="BE17" s="58">
        <f t="shared" si="2"/>
        <v>141038</v>
      </c>
      <c r="BF17" s="58">
        <f>BF19+BF23+BF31+BF35+BF39+BF43+BF47</f>
        <v>-1996</v>
      </c>
      <c r="BG17" s="58">
        <f>BG19+BG23+BG31+BG35+BG39+BG43+BG47</f>
        <v>0</v>
      </c>
      <c r="BH17" s="58">
        <f>BH19+BH23+BH31+BH35+BH39+BH43+BH47</f>
        <v>0</v>
      </c>
      <c r="BI17" s="58">
        <f>BI19+BI23+BI31+BI35+BI39+BI43+BI47</f>
        <v>1012210</v>
      </c>
      <c r="BJ17" s="58">
        <f>BJ19+BJ23+BJ31+BJ35+BJ39+BJ43+BJ47</f>
        <v>141038</v>
      </c>
      <c r="BK17" s="58">
        <f aca="true" t="shared" si="3" ref="BK17:BV17">BK19+BK23+BK31+BK35+BK39+BK43+BK47</f>
        <v>-9902</v>
      </c>
      <c r="BL17" s="58">
        <f t="shared" si="3"/>
        <v>-18</v>
      </c>
      <c r="BM17" s="58">
        <f t="shared" si="3"/>
        <v>-23754</v>
      </c>
      <c r="BN17" s="58">
        <f t="shared" si="3"/>
        <v>0</v>
      </c>
      <c r="BO17" s="58">
        <f t="shared" si="3"/>
        <v>978536</v>
      </c>
      <c r="BP17" s="58">
        <f t="shared" si="3"/>
        <v>141038</v>
      </c>
      <c r="BQ17" s="58">
        <f t="shared" si="3"/>
        <v>-2497</v>
      </c>
      <c r="BR17" s="58">
        <f t="shared" si="3"/>
        <v>1080</v>
      </c>
      <c r="BS17" s="58">
        <f t="shared" si="3"/>
        <v>-1496</v>
      </c>
      <c r="BT17" s="58">
        <f t="shared" si="3"/>
        <v>0</v>
      </c>
      <c r="BU17" s="58">
        <f t="shared" si="3"/>
        <v>975623</v>
      </c>
      <c r="BV17" s="58">
        <f t="shared" si="3"/>
        <v>141038</v>
      </c>
      <c r="BW17" s="58">
        <f>BW19+BW23+BW31+BW35+BW39+BW43+BW47</f>
        <v>927410</v>
      </c>
      <c r="BX17" s="58">
        <f>BX19+BX23+BX31+BX35+BX39+BX43+BX47</f>
        <v>130733</v>
      </c>
      <c r="BY17" s="60">
        <f>BW17/BU17*100</f>
        <v>95.05823458446552</v>
      </c>
      <c r="BZ17" s="60">
        <f>BX17/BV17*100</f>
        <v>92.69345850054596</v>
      </c>
    </row>
    <row r="18" spans="1:78" s="11" customFormat="1" ht="11.25" customHeight="1">
      <c r="A18" s="47"/>
      <c r="B18" s="48"/>
      <c r="C18" s="48"/>
      <c r="D18" s="49"/>
      <c r="E18" s="48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2"/>
      <c r="Q18" s="63"/>
      <c r="R18" s="63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4"/>
      <c r="AE18" s="64"/>
      <c r="AF18" s="61"/>
      <c r="AG18" s="64"/>
      <c r="AH18" s="64"/>
      <c r="AI18" s="64"/>
      <c r="AJ18" s="64"/>
      <c r="AK18" s="63"/>
      <c r="AL18" s="63"/>
      <c r="AM18" s="63"/>
      <c r="AN18" s="63"/>
      <c r="AO18" s="63"/>
      <c r="AP18" s="63"/>
      <c r="AQ18" s="63"/>
      <c r="AR18" s="63"/>
      <c r="AS18" s="63"/>
      <c r="AT18" s="65"/>
      <c r="AU18" s="65"/>
      <c r="AV18" s="65"/>
      <c r="AW18" s="65"/>
      <c r="AX18" s="65"/>
      <c r="AY18" s="61"/>
      <c r="AZ18" s="61"/>
      <c r="BA18" s="61"/>
      <c r="BB18" s="61"/>
      <c r="BC18" s="61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63"/>
      <c r="BS18" s="63"/>
      <c r="BT18" s="63"/>
      <c r="BU18" s="63"/>
      <c r="BV18" s="63"/>
      <c r="BW18" s="63"/>
      <c r="BX18" s="63"/>
      <c r="BY18" s="60"/>
      <c r="BZ18" s="60"/>
    </row>
    <row r="19" spans="1:78" s="12" customFormat="1" ht="72.75" customHeight="1">
      <c r="A19" s="66" t="s">
        <v>357</v>
      </c>
      <c r="B19" s="67" t="s">
        <v>127</v>
      </c>
      <c r="C19" s="67" t="s">
        <v>128</v>
      </c>
      <c r="D19" s="68"/>
      <c r="E19" s="67"/>
      <c r="F19" s="69">
        <f aca="true" t="shared" si="4" ref="F19:U20">F20</f>
        <v>1045</v>
      </c>
      <c r="G19" s="69">
        <f t="shared" si="4"/>
        <v>228</v>
      </c>
      <c r="H19" s="69">
        <f t="shared" si="4"/>
        <v>1273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1273</v>
      </c>
      <c r="N19" s="69">
        <f t="shared" si="4"/>
        <v>0</v>
      </c>
      <c r="O19" s="69">
        <f t="shared" si="4"/>
        <v>0</v>
      </c>
      <c r="P19" s="69">
        <f t="shared" si="4"/>
        <v>0</v>
      </c>
      <c r="Q19" s="69">
        <f t="shared" si="4"/>
        <v>0</v>
      </c>
      <c r="R19" s="69">
        <f t="shared" si="4"/>
        <v>0</v>
      </c>
      <c r="S19" s="69">
        <f t="shared" si="4"/>
        <v>1273</v>
      </c>
      <c r="T19" s="69">
        <f t="shared" si="4"/>
        <v>0</v>
      </c>
      <c r="U19" s="69">
        <f t="shared" si="4"/>
        <v>0</v>
      </c>
      <c r="V19" s="69">
        <f aca="true" t="shared" si="5" ref="U19:AJ20">V20</f>
        <v>0</v>
      </c>
      <c r="W19" s="69">
        <f t="shared" si="5"/>
        <v>0</v>
      </c>
      <c r="X19" s="69">
        <f t="shared" si="5"/>
        <v>0</v>
      </c>
      <c r="Y19" s="69">
        <f t="shared" si="5"/>
        <v>0</v>
      </c>
      <c r="Z19" s="69">
        <f t="shared" si="5"/>
        <v>0</v>
      </c>
      <c r="AA19" s="69">
        <f t="shared" si="5"/>
        <v>0</v>
      </c>
      <c r="AB19" s="69">
        <f t="shared" si="5"/>
        <v>1273</v>
      </c>
      <c r="AC19" s="69">
        <f t="shared" si="5"/>
        <v>0</v>
      </c>
      <c r="AD19" s="69">
        <f t="shared" si="5"/>
        <v>0</v>
      </c>
      <c r="AE19" s="69">
        <f t="shared" si="5"/>
        <v>0</v>
      </c>
      <c r="AF19" s="69">
        <f t="shared" si="5"/>
        <v>0</v>
      </c>
      <c r="AG19" s="69">
        <f t="shared" si="5"/>
        <v>0</v>
      </c>
      <c r="AH19" s="69">
        <f t="shared" si="5"/>
        <v>0</v>
      </c>
      <c r="AI19" s="69">
        <f t="shared" si="5"/>
        <v>1273</v>
      </c>
      <c r="AJ19" s="69">
        <f t="shared" si="5"/>
        <v>0</v>
      </c>
      <c r="AK19" s="69">
        <f aca="true" t="shared" si="6" ref="AJ19:AY20">AK20</f>
        <v>0</v>
      </c>
      <c r="AL19" s="69">
        <f t="shared" si="6"/>
        <v>1273</v>
      </c>
      <c r="AM19" s="69">
        <f t="shared" si="6"/>
        <v>0</v>
      </c>
      <c r="AN19" s="69">
        <f t="shared" si="6"/>
        <v>0</v>
      </c>
      <c r="AO19" s="69">
        <f t="shared" si="6"/>
        <v>0</v>
      </c>
      <c r="AP19" s="69">
        <f t="shared" si="6"/>
        <v>0</v>
      </c>
      <c r="AQ19" s="69">
        <f t="shared" si="6"/>
        <v>0</v>
      </c>
      <c r="AR19" s="69">
        <f t="shared" si="6"/>
        <v>1273</v>
      </c>
      <c r="AS19" s="69">
        <f t="shared" si="6"/>
        <v>0</v>
      </c>
      <c r="AT19" s="70">
        <f t="shared" si="6"/>
        <v>0</v>
      </c>
      <c r="AU19" s="70">
        <f t="shared" si="6"/>
        <v>0</v>
      </c>
      <c r="AV19" s="70">
        <f t="shared" si="6"/>
        <v>0</v>
      </c>
      <c r="AW19" s="70">
        <f t="shared" si="6"/>
        <v>1273</v>
      </c>
      <c r="AX19" s="70">
        <f t="shared" si="6"/>
        <v>0</v>
      </c>
      <c r="AY19" s="69">
        <f t="shared" si="6"/>
        <v>0</v>
      </c>
      <c r="AZ19" s="69">
        <f aca="true" t="shared" si="7" ref="AY19:BN20">AZ20</f>
        <v>0</v>
      </c>
      <c r="BA19" s="69"/>
      <c r="BB19" s="69"/>
      <c r="BC19" s="69">
        <f t="shared" si="7"/>
        <v>0</v>
      </c>
      <c r="BD19" s="69">
        <f t="shared" si="7"/>
        <v>1273</v>
      </c>
      <c r="BE19" s="69">
        <f t="shared" si="7"/>
        <v>0</v>
      </c>
      <c r="BF19" s="69">
        <f t="shared" si="7"/>
        <v>0</v>
      </c>
      <c r="BG19" s="69">
        <f t="shared" si="7"/>
        <v>0</v>
      </c>
      <c r="BH19" s="69">
        <f t="shared" si="7"/>
        <v>0</v>
      </c>
      <c r="BI19" s="69">
        <f>BI20</f>
        <v>1273</v>
      </c>
      <c r="BJ19" s="69">
        <f aca="true" t="shared" si="8" ref="BJ19:BX20">BJ20</f>
        <v>0</v>
      </c>
      <c r="BK19" s="69">
        <f t="shared" si="8"/>
        <v>0</v>
      </c>
      <c r="BL19" s="69">
        <f t="shared" si="8"/>
        <v>0</v>
      </c>
      <c r="BM19" s="69">
        <f t="shared" si="8"/>
        <v>0</v>
      </c>
      <c r="BN19" s="69">
        <f t="shared" si="8"/>
        <v>0</v>
      </c>
      <c r="BO19" s="69">
        <f t="shared" si="8"/>
        <v>1273</v>
      </c>
      <c r="BP19" s="69">
        <f t="shared" si="8"/>
        <v>0</v>
      </c>
      <c r="BQ19" s="69">
        <f t="shared" si="8"/>
        <v>0</v>
      </c>
      <c r="BR19" s="69"/>
      <c r="BS19" s="69">
        <f t="shared" si="8"/>
        <v>0</v>
      </c>
      <c r="BT19" s="69">
        <f t="shared" si="8"/>
        <v>0</v>
      </c>
      <c r="BU19" s="69">
        <f t="shared" si="8"/>
        <v>1273</v>
      </c>
      <c r="BV19" s="69">
        <f t="shared" si="8"/>
        <v>0</v>
      </c>
      <c r="BW19" s="69">
        <f t="shared" si="8"/>
        <v>1079</v>
      </c>
      <c r="BX19" s="69">
        <f t="shared" si="8"/>
        <v>0</v>
      </c>
      <c r="BY19" s="71">
        <f>BW19/BU19*100</f>
        <v>84.76040848389631</v>
      </c>
      <c r="BZ19" s="72"/>
    </row>
    <row r="20" spans="1:78" s="13" customFormat="1" ht="90" customHeight="1" hidden="1">
      <c r="A20" s="73" t="s">
        <v>133</v>
      </c>
      <c r="B20" s="74" t="s">
        <v>127</v>
      </c>
      <c r="C20" s="74" t="s">
        <v>128</v>
      </c>
      <c r="D20" s="75" t="s">
        <v>124</v>
      </c>
      <c r="E20" s="74"/>
      <c r="F20" s="75">
        <f t="shared" si="4"/>
        <v>1045</v>
      </c>
      <c r="G20" s="75">
        <f t="shared" si="4"/>
        <v>228</v>
      </c>
      <c r="H20" s="75">
        <f t="shared" si="4"/>
        <v>1273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t="shared" si="4"/>
        <v>1273</v>
      </c>
      <c r="N20" s="75">
        <f t="shared" si="4"/>
        <v>0</v>
      </c>
      <c r="O20" s="75">
        <f t="shared" si="4"/>
        <v>0</v>
      </c>
      <c r="P20" s="75">
        <f t="shared" si="4"/>
        <v>0</v>
      </c>
      <c r="Q20" s="75">
        <f t="shared" si="4"/>
        <v>0</v>
      </c>
      <c r="R20" s="75">
        <f t="shared" si="4"/>
        <v>0</v>
      </c>
      <c r="S20" s="75">
        <f t="shared" si="4"/>
        <v>1273</v>
      </c>
      <c r="T20" s="75">
        <f t="shared" si="4"/>
        <v>0</v>
      </c>
      <c r="U20" s="75">
        <f t="shared" si="5"/>
        <v>0</v>
      </c>
      <c r="V20" s="75">
        <f t="shared" si="5"/>
        <v>0</v>
      </c>
      <c r="W20" s="75">
        <f t="shared" si="5"/>
        <v>0</v>
      </c>
      <c r="X20" s="75">
        <f t="shared" si="5"/>
        <v>0</v>
      </c>
      <c r="Y20" s="75">
        <f t="shared" si="5"/>
        <v>0</v>
      </c>
      <c r="Z20" s="75">
        <f t="shared" si="5"/>
        <v>0</v>
      </c>
      <c r="AA20" s="75">
        <f t="shared" si="5"/>
        <v>0</v>
      </c>
      <c r="AB20" s="75">
        <f t="shared" si="5"/>
        <v>1273</v>
      </c>
      <c r="AC20" s="75">
        <f t="shared" si="5"/>
        <v>0</v>
      </c>
      <c r="AD20" s="75">
        <f t="shared" si="5"/>
        <v>0</v>
      </c>
      <c r="AE20" s="75">
        <f t="shared" si="5"/>
        <v>0</v>
      </c>
      <c r="AF20" s="75">
        <f t="shared" si="5"/>
        <v>0</v>
      </c>
      <c r="AG20" s="75">
        <f t="shared" si="5"/>
        <v>0</v>
      </c>
      <c r="AH20" s="75">
        <f t="shared" si="5"/>
        <v>0</v>
      </c>
      <c r="AI20" s="75">
        <f t="shared" si="5"/>
        <v>1273</v>
      </c>
      <c r="AJ20" s="75">
        <f t="shared" si="6"/>
        <v>0</v>
      </c>
      <c r="AK20" s="75">
        <f t="shared" si="6"/>
        <v>0</v>
      </c>
      <c r="AL20" s="75">
        <f t="shared" si="6"/>
        <v>1273</v>
      </c>
      <c r="AM20" s="75">
        <f t="shared" si="6"/>
        <v>0</v>
      </c>
      <c r="AN20" s="75">
        <f t="shared" si="6"/>
        <v>0</v>
      </c>
      <c r="AO20" s="75">
        <f t="shared" si="6"/>
        <v>0</v>
      </c>
      <c r="AP20" s="75">
        <f t="shared" si="6"/>
        <v>0</v>
      </c>
      <c r="AQ20" s="75">
        <f t="shared" si="6"/>
        <v>0</v>
      </c>
      <c r="AR20" s="75">
        <f t="shared" si="6"/>
        <v>1273</v>
      </c>
      <c r="AS20" s="75">
        <f t="shared" si="6"/>
        <v>0</v>
      </c>
      <c r="AT20" s="76">
        <f t="shared" si="6"/>
        <v>0</v>
      </c>
      <c r="AU20" s="76">
        <f t="shared" si="6"/>
        <v>0</v>
      </c>
      <c r="AV20" s="76">
        <f t="shared" si="6"/>
        <v>0</v>
      </c>
      <c r="AW20" s="76">
        <f t="shared" si="6"/>
        <v>1273</v>
      </c>
      <c r="AX20" s="76">
        <f t="shared" si="6"/>
        <v>0</v>
      </c>
      <c r="AY20" s="75">
        <f t="shared" si="7"/>
        <v>0</v>
      </c>
      <c r="AZ20" s="75">
        <f t="shared" si="7"/>
        <v>0</v>
      </c>
      <c r="BA20" s="75">
        <f t="shared" si="7"/>
        <v>0</v>
      </c>
      <c r="BB20" s="75">
        <f t="shared" si="7"/>
        <v>0</v>
      </c>
      <c r="BC20" s="75">
        <f t="shared" si="7"/>
        <v>0</v>
      </c>
      <c r="BD20" s="75">
        <f t="shared" si="7"/>
        <v>1273</v>
      </c>
      <c r="BE20" s="75">
        <f t="shared" si="7"/>
        <v>0</v>
      </c>
      <c r="BF20" s="75">
        <f t="shared" si="7"/>
        <v>0</v>
      </c>
      <c r="BG20" s="75">
        <f t="shared" si="7"/>
        <v>0</v>
      </c>
      <c r="BH20" s="75">
        <f t="shared" si="7"/>
        <v>0</v>
      </c>
      <c r="BI20" s="75">
        <f t="shared" si="7"/>
        <v>1273</v>
      </c>
      <c r="BJ20" s="75">
        <f t="shared" si="7"/>
        <v>0</v>
      </c>
      <c r="BK20" s="75">
        <f t="shared" si="7"/>
        <v>0</v>
      </c>
      <c r="BL20" s="75">
        <f t="shared" si="7"/>
        <v>0</v>
      </c>
      <c r="BM20" s="75">
        <f t="shared" si="7"/>
        <v>0</v>
      </c>
      <c r="BN20" s="75">
        <f t="shared" si="7"/>
        <v>0</v>
      </c>
      <c r="BO20" s="75">
        <f t="shared" si="8"/>
        <v>1273</v>
      </c>
      <c r="BP20" s="75">
        <f t="shared" si="8"/>
        <v>0</v>
      </c>
      <c r="BQ20" s="75">
        <f t="shared" si="8"/>
        <v>0</v>
      </c>
      <c r="BR20" s="75"/>
      <c r="BS20" s="75">
        <f t="shared" si="8"/>
        <v>0</v>
      </c>
      <c r="BT20" s="75">
        <f t="shared" si="8"/>
        <v>0</v>
      </c>
      <c r="BU20" s="75">
        <f t="shared" si="8"/>
        <v>1273</v>
      </c>
      <c r="BV20" s="75">
        <f t="shared" si="8"/>
        <v>0</v>
      </c>
      <c r="BW20" s="75">
        <f t="shared" si="8"/>
        <v>1079</v>
      </c>
      <c r="BX20" s="75">
        <f t="shared" si="8"/>
        <v>0</v>
      </c>
      <c r="BY20" s="77">
        <f>BW20/BU20*100</f>
        <v>84.76040848389631</v>
      </c>
      <c r="BZ20" s="72"/>
    </row>
    <row r="21" spans="1:78" s="14" customFormat="1" ht="40.5" customHeight="1" hidden="1">
      <c r="A21" s="73" t="s">
        <v>129</v>
      </c>
      <c r="B21" s="74" t="s">
        <v>127</v>
      </c>
      <c r="C21" s="74" t="s">
        <v>128</v>
      </c>
      <c r="D21" s="74" t="s">
        <v>124</v>
      </c>
      <c r="E21" s="74" t="s">
        <v>130</v>
      </c>
      <c r="F21" s="75">
        <v>1045</v>
      </c>
      <c r="G21" s="75">
        <f>H21-F21</f>
        <v>228</v>
      </c>
      <c r="H21" s="75">
        <v>1273</v>
      </c>
      <c r="I21" s="78"/>
      <c r="J21" s="78"/>
      <c r="K21" s="78"/>
      <c r="L21" s="78"/>
      <c r="M21" s="75">
        <f>H21+J21+K21+L21</f>
        <v>1273</v>
      </c>
      <c r="N21" s="78">
        <f>I21+L21</f>
        <v>0</v>
      </c>
      <c r="O21" s="78"/>
      <c r="P21" s="78"/>
      <c r="Q21" s="79"/>
      <c r="R21" s="79"/>
      <c r="S21" s="75">
        <f>M21+O21+P21+Q21+R21</f>
        <v>1273</v>
      </c>
      <c r="T21" s="75">
        <f>N21+R21</f>
        <v>0</v>
      </c>
      <c r="U21" s="79"/>
      <c r="V21" s="79"/>
      <c r="W21" s="79"/>
      <c r="X21" s="79"/>
      <c r="Y21" s="79"/>
      <c r="Z21" s="79"/>
      <c r="AA21" s="79"/>
      <c r="AB21" s="75">
        <f>S21+U21+V21+W21+X21+Y21+Z21+AA21</f>
        <v>1273</v>
      </c>
      <c r="AC21" s="80">
        <f>T21+Z21+AA21</f>
        <v>0</v>
      </c>
      <c r="AD21" s="80"/>
      <c r="AE21" s="80"/>
      <c r="AF21" s="75"/>
      <c r="AG21" s="80"/>
      <c r="AH21" s="80"/>
      <c r="AI21" s="75">
        <f>AB21+AD21+AE21+AF21+AG21+AH21</f>
        <v>1273</v>
      </c>
      <c r="AJ21" s="75">
        <f>AC21+AH21</f>
        <v>0</v>
      </c>
      <c r="AK21" s="79"/>
      <c r="AL21" s="75">
        <f>AI21+AK21</f>
        <v>1273</v>
      </c>
      <c r="AM21" s="75">
        <f>AJ21</f>
        <v>0</v>
      </c>
      <c r="AN21" s="79"/>
      <c r="AO21" s="79"/>
      <c r="AP21" s="79"/>
      <c r="AQ21" s="79"/>
      <c r="AR21" s="75">
        <f>AL21+AN21+AO21+AP21+AQ21</f>
        <v>1273</v>
      </c>
      <c r="AS21" s="75">
        <f>AM21+AQ21</f>
        <v>0</v>
      </c>
      <c r="AT21" s="81"/>
      <c r="AU21" s="81"/>
      <c r="AV21" s="81"/>
      <c r="AW21" s="76">
        <f>AV21+AU21+AT21+AR21</f>
        <v>1273</v>
      </c>
      <c r="AX21" s="76">
        <f>AV21+AS21</f>
        <v>0</v>
      </c>
      <c r="AY21" s="75"/>
      <c r="AZ21" s="75"/>
      <c r="BA21" s="75"/>
      <c r="BB21" s="75"/>
      <c r="BC21" s="75"/>
      <c r="BD21" s="75">
        <f>AW21+AY21+AZ21+BA21+BB21+BC21</f>
        <v>1273</v>
      </c>
      <c r="BE21" s="75">
        <f>AX21+BC21</f>
        <v>0</v>
      </c>
      <c r="BF21" s="79"/>
      <c r="BG21" s="79"/>
      <c r="BH21" s="79"/>
      <c r="BI21" s="75">
        <f>BD21+BF21+BG21+BH21</f>
        <v>1273</v>
      </c>
      <c r="BJ21" s="75">
        <f>BE21+BH21</f>
        <v>0</v>
      </c>
      <c r="BK21" s="78"/>
      <c r="BL21" s="78"/>
      <c r="BM21" s="78"/>
      <c r="BN21" s="78"/>
      <c r="BO21" s="75">
        <f>BI21+BK21+BL21+BM21+BN21</f>
        <v>1273</v>
      </c>
      <c r="BP21" s="75">
        <f>BJ21+BN21</f>
        <v>0</v>
      </c>
      <c r="BQ21" s="79"/>
      <c r="BR21" s="79"/>
      <c r="BS21" s="79"/>
      <c r="BT21" s="79"/>
      <c r="BU21" s="75">
        <f>BO21+BQ21+BS21+BT21</f>
        <v>1273</v>
      </c>
      <c r="BV21" s="75">
        <f>BP21+BT21</f>
        <v>0</v>
      </c>
      <c r="BW21" s="75">
        <v>1079</v>
      </c>
      <c r="BX21" s="75">
        <f>BR21+BV21</f>
        <v>0</v>
      </c>
      <c r="BY21" s="77">
        <f>BW21/BU21*100</f>
        <v>84.76040848389631</v>
      </c>
      <c r="BZ21" s="72"/>
    </row>
    <row r="22" spans="1:78" s="11" customFormat="1" ht="11.25" customHeight="1">
      <c r="A22" s="82"/>
      <c r="B22" s="83"/>
      <c r="C22" s="83"/>
      <c r="D22" s="84"/>
      <c r="E22" s="83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63"/>
      <c r="S22" s="61"/>
      <c r="T22" s="61"/>
      <c r="U22" s="63"/>
      <c r="V22" s="63"/>
      <c r="W22" s="63"/>
      <c r="X22" s="63"/>
      <c r="Y22" s="63"/>
      <c r="Z22" s="63"/>
      <c r="AA22" s="63"/>
      <c r="AB22" s="63"/>
      <c r="AC22" s="63"/>
      <c r="AD22" s="64"/>
      <c r="AE22" s="64"/>
      <c r="AF22" s="61"/>
      <c r="AG22" s="64"/>
      <c r="AH22" s="64"/>
      <c r="AI22" s="64"/>
      <c r="AJ22" s="64"/>
      <c r="AK22" s="63"/>
      <c r="AL22" s="63"/>
      <c r="AM22" s="63"/>
      <c r="AN22" s="63"/>
      <c r="AO22" s="63"/>
      <c r="AP22" s="63"/>
      <c r="AQ22" s="63"/>
      <c r="AR22" s="63"/>
      <c r="AS22" s="63"/>
      <c r="AT22" s="65"/>
      <c r="AU22" s="65"/>
      <c r="AV22" s="65"/>
      <c r="AW22" s="65"/>
      <c r="AX22" s="65"/>
      <c r="AY22" s="61"/>
      <c r="AZ22" s="61"/>
      <c r="BA22" s="61"/>
      <c r="BB22" s="61"/>
      <c r="BC22" s="61"/>
      <c r="BD22" s="62"/>
      <c r="BE22" s="62"/>
      <c r="BF22" s="63"/>
      <c r="BG22" s="63"/>
      <c r="BH22" s="63"/>
      <c r="BI22" s="63"/>
      <c r="BJ22" s="63"/>
      <c r="BK22" s="62"/>
      <c r="BL22" s="62"/>
      <c r="BM22" s="62"/>
      <c r="BN22" s="62"/>
      <c r="BO22" s="62"/>
      <c r="BP22" s="62"/>
      <c r="BQ22" s="63"/>
      <c r="BR22" s="63"/>
      <c r="BS22" s="63"/>
      <c r="BT22" s="63"/>
      <c r="BU22" s="63"/>
      <c r="BV22" s="63"/>
      <c r="BW22" s="63"/>
      <c r="BX22" s="63"/>
      <c r="BY22" s="72"/>
      <c r="BZ22" s="72"/>
    </row>
    <row r="23" spans="1:78" s="12" customFormat="1" ht="92.25" customHeight="1">
      <c r="A23" s="66" t="s">
        <v>131</v>
      </c>
      <c r="B23" s="67" t="s">
        <v>127</v>
      </c>
      <c r="C23" s="67" t="s">
        <v>132</v>
      </c>
      <c r="D23" s="85"/>
      <c r="E23" s="67"/>
      <c r="F23" s="86">
        <f aca="true" t="shared" si="9" ref="F23:M23">F24+F26+F28</f>
        <v>84165</v>
      </c>
      <c r="G23" s="86">
        <f t="shared" si="9"/>
        <v>10841</v>
      </c>
      <c r="H23" s="86">
        <f t="shared" si="9"/>
        <v>95006</v>
      </c>
      <c r="I23" s="86">
        <f t="shared" si="9"/>
        <v>0</v>
      </c>
      <c r="J23" s="86">
        <f t="shared" si="9"/>
        <v>0</v>
      </c>
      <c r="K23" s="86">
        <f t="shared" si="9"/>
        <v>0</v>
      </c>
      <c r="L23" s="86">
        <f t="shared" si="9"/>
        <v>0</v>
      </c>
      <c r="M23" s="86">
        <f t="shared" si="9"/>
        <v>95006</v>
      </c>
      <c r="N23" s="86">
        <f aca="true" t="shared" si="10" ref="N23:S23">N24+N26+N28</f>
        <v>0</v>
      </c>
      <c r="O23" s="86">
        <f t="shared" si="10"/>
        <v>0</v>
      </c>
      <c r="P23" s="86">
        <f t="shared" si="10"/>
        <v>0</v>
      </c>
      <c r="Q23" s="86">
        <f t="shared" si="10"/>
        <v>0</v>
      </c>
      <c r="R23" s="86">
        <f t="shared" si="10"/>
        <v>0</v>
      </c>
      <c r="S23" s="86">
        <f t="shared" si="10"/>
        <v>95006</v>
      </c>
      <c r="T23" s="86">
        <f aca="true" t="shared" si="11" ref="T23:AB23">T24+T26+T28</f>
        <v>0</v>
      </c>
      <c r="U23" s="86">
        <f t="shared" si="11"/>
        <v>0</v>
      </c>
      <c r="V23" s="86">
        <f t="shared" si="11"/>
        <v>0</v>
      </c>
      <c r="W23" s="86">
        <f t="shared" si="11"/>
        <v>0</v>
      </c>
      <c r="X23" s="86">
        <f t="shared" si="11"/>
        <v>0</v>
      </c>
      <c r="Y23" s="86">
        <f t="shared" si="11"/>
        <v>0</v>
      </c>
      <c r="Z23" s="86">
        <f t="shared" si="11"/>
        <v>0</v>
      </c>
      <c r="AA23" s="86">
        <f t="shared" si="11"/>
        <v>0</v>
      </c>
      <c r="AB23" s="86">
        <f t="shared" si="11"/>
        <v>95006</v>
      </c>
      <c r="AC23" s="86">
        <f aca="true" t="shared" si="12" ref="AC23:AI23">AC24+AC26+AC28</f>
        <v>0</v>
      </c>
      <c r="AD23" s="86">
        <f t="shared" si="12"/>
        <v>7</v>
      </c>
      <c r="AE23" s="86">
        <f t="shared" si="12"/>
        <v>150</v>
      </c>
      <c r="AF23" s="86">
        <f t="shared" si="12"/>
        <v>-4034</v>
      </c>
      <c r="AG23" s="86">
        <f t="shared" si="12"/>
        <v>0</v>
      </c>
      <c r="AH23" s="86">
        <f t="shared" si="12"/>
        <v>0</v>
      </c>
      <c r="AI23" s="86">
        <f t="shared" si="12"/>
        <v>91129</v>
      </c>
      <c r="AJ23" s="86">
        <f>AJ24+AJ26+AJ28</f>
        <v>0</v>
      </c>
      <c r="AK23" s="86">
        <f>AK24+AK26+AK28</f>
        <v>0</v>
      </c>
      <c r="AL23" s="86">
        <f>AL24+AL26+AL28</f>
        <v>91129</v>
      </c>
      <c r="AM23" s="86">
        <f aca="true" t="shared" si="13" ref="AM23:AS23">AM24+AM26+AM28</f>
        <v>0</v>
      </c>
      <c r="AN23" s="86">
        <f t="shared" si="13"/>
        <v>0</v>
      </c>
      <c r="AO23" s="86">
        <f t="shared" si="13"/>
        <v>140</v>
      </c>
      <c r="AP23" s="86">
        <f t="shared" si="13"/>
        <v>6</v>
      </c>
      <c r="AQ23" s="86">
        <f t="shared" si="13"/>
        <v>0</v>
      </c>
      <c r="AR23" s="86">
        <f t="shared" si="13"/>
        <v>91275</v>
      </c>
      <c r="AS23" s="86">
        <f t="shared" si="13"/>
        <v>0</v>
      </c>
      <c r="AT23" s="87">
        <f>AT24+AT26+AT28</f>
        <v>0</v>
      </c>
      <c r="AU23" s="87">
        <f>AU24+AU26+AU28</f>
        <v>0</v>
      </c>
      <c r="AV23" s="87">
        <f>AV24+AV26+AV28</f>
        <v>0</v>
      </c>
      <c r="AW23" s="87">
        <f>AW24+AW26+AW28</f>
        <v>91275</v>
      </c>
      <c r="AX23" s="87">
        <f aca="true" t="shared" si="14" ref="AX23:BD23">AX24+AX26+AX28</f>
        <v>0</v>
      </c>
      <c r="AY23" s="86">
        <f t="shared" si="14"/>
        <v>-5344</v>
      </c>
      <c r="AZ23" s="86">
        <f t="shared" si="14"/>
        <v>0</v>
      </c>
      <c r="BA23" s="86">
        <f>BA24+BA26+BA28</f>
        <v>0</v>
      </c>
      <c r="BB23" s="86">
        <f>BB24+BB26+BB28</f>
        <v>0</v>
      </c>
      <c r="BC23" s="86">
        <f t="shared" si="14"/>
        <v>0</v>
      </c>
      <c r="BD23" s="86">
        <f t="shared" si="14"/>
        <v>85931</v>
      </c>
      <c r="BE23" s="86">
        <f>BE24+BE26+BE28</f>
        <v>0</v>
      </c>
      <c r="BF23" s="86">
        <f>BF24+BF26+BF28</f>
        <v>0</v>
      </c>
      <c r="BG23" s="86">
        <f>BG24+BG26+BG28</f>
        <v>0</v>
      </c>
      <c r="BH23" s="86">
        <f>BH24+BH26+BH28</f>
        <v>0</v>
      </c>
      <c r="BI23" s="86">
        <f>BI24+BI26+BI28</f>
        <v>85931</v>
      </c>
      <c r="BJ23" s="86">
        <f aca="true" t="shared" si="15" ref="BJ23:BP23">BJ24+BJ26+BJ28</f>
        <v>0</v>
      </c>
      <c r="BK23" s="86">
        <f t="shared" si="15"/>
        <v>0</v>
      </c>
      <c r="BL23" s="86">
        <f t="shared" si="15"/>
        <v>0</v>
      </c>
      <c r="BM23" s="86">
        <f t="shared" si="15"/>
        <v>0</v>
      </c>
      <c r="BN23" s="86">
        <f t="shared" si="15"/>
        <v>0</v>
      </c>
      <c r="BO23" s="86">
        <f t="shared" si="15"/>
        <v>85931</v>
      </c>
      <c r="BP23" s="86">
        <f t="shared" si="15"/>
        <v>0</v>
      </c>
      <c r="BQ23" s="86">
        <f>BQ24+BQ26+BQ28</f>
        <v>-105</v>
      </c>
      <c r="BR23" s="86"/>
      <c r="BS23" s="86">
        <f aca="true" t="shared" si="16" ref="BS23:BX23">BS24+BS26+BS28</f>
        <v>0</v>
      </c>
      <c r="BT23" s="86">
        <f t="shared" si="16"/>
        <v>0</v>
      </c>
      <c r="BU23" s="86">
        <f t="shared" si="16"/>
        <v>85826</v>
      </c>
      <c r="BV23" s="86">
        <f t="shared" si="16"/>
        <v>0</v>
      </c>
      <c r="BW23" s="86">
        <f t="shared" si="16"/>
        <v>85167</v>
      </c>
      <c r="BX23" s="86">
        <f t="shared" si="16"/>
        <v>0</v>
      </c>
      <c r="BY23" s="71">
        <f aca="true" t="shared" si="17" ref="BY23:BY29">BW23/BU23*100</f>
        <v>99.23216740847762</v>
      </c>
      <c r="BZ23" s="72"/>
    </row>
    <row r="24" spans="1:78" s="13" customFormat="1" ht="89.25" customHeight="1" hidden="1">
      <c r="A24" s="88" t="s">
        <v>133</v>
      </c>
      <c r="B24" s="89" t="s">
        <v>127</v>
      </c>
      <c r="C24" s="89" t="s">
        <v>132</v>
      </c>
      <c r="D24" s="90" t="s">
        <v>124</v>
      </c>
      <c r="E24" s="89"/>
      <c r="F24" s="91">
        <f>F25</f>
        <v>82397</v>
      </c>
      <c r="G24" s="91">
        <f>G25</f>
        <v>10526</v>
      </c>
      <c r="H24" s="91">
        <f>H25</f>
        <v>92923</v>
      </c>
      <c r="I24" s="91">
        <f aca="true" t="shared" si="18" ref="I24:BW24">I25</f>
        <v>0</v>
      </c>
      <c r="J24" s="91">
        <f t="shared" si="18"/>
        <v>0</v>
      </c>
      <c r="K24" s="91">
        <f t="shared" si="18"/>
        <v>0</v>
      </c>
      <c r="L24" s="91">
        <f t="shared" si="18"/>
        <v>0</v>
      </c>
      <c r="M24" s="91">
        <f t="shared" si="18"/>
        <v>92923</v>
      </c>
      <c r="N24" s="91">
        <f t="shared" si="18"/>
        <v>0</v>
      </c>
      <c r="O24" s="91">
        <f t="shared" si="18"/>
        <v>0</v>
      </c>
      <c r="P24" s="91">
        <f t="shared" si="18"/>
        <v>0</v>
      </c>
      <c r="Q24" s="91">
        <f t="shared" si="18"/>
        <v>0</v>
      </c>
      <c r="R24" s="91">
        <f t="shared" si="18"/>
        <v>0</v>
      </c>
      <c r="S24" s="91">
        <f t="shared" si="18"/>
        <v>92923</v>
      </c>
      <c r="T24" s="91">
        <f t="shared" si="18"/>
        <v>0</v>
      </c>
      <c r="U24" s="91">
        <f t="shared" si="18"/>
        <v>0</v>
      </c>
      <c r="V24" s="91">
        <f t="shared" si="18"/>
        <v>0</v>
      </c>
      <c r="W24" s="91">
        <f t="shared" si="18"/>
        <v>0</v>
      </c>
      <c r="X24" s="91">
        <f t="shared" si="18"/>
        <v>0</v>
      </c>
      <c r="Y24" s="91">
        <f t="shared" si="18"/>
        <v>0</v>
      </c>
      <c r="Z24" s="91">
        <f t="shared" si="18"/>
        <v>0</v>
      </c>
      <c r="AA24" s="91">
        <f t="shared" si="18"/>
        <v>0</v>
      </c>
      <c r="AB24" s="91">
        <f t="shared" si="18"/>
        <v>92923</v>
      </c>
      <c r="AC24" s="91">
        <f t="shared" si="18"/>
        <v>0</v>
      </c>
      <c r="AD24" s="91">
        <f t="shared" si="18"/>
        <v>7</v>
      </c>
      <c r="AE24" s="91">
        <f t="shared" si="18"/>
        <v>150</v>
      </c>
      <c r="AF24" s="91">
        <f t="shared" si="18"/>
        <v>-4034</v>
      </c>
      <c r="AG24" s="91">
        <f t="shared" si="18"/>
        <v>0</v>
      </c>
      <c r="AH24" s="91">
        <f t="shared" si="18"/>
        <v>0</v>
      </c>
      <c r="AI24" s="91">
        <f t="shared" si="18"/>
        <v>89046</v>
      </c>
      <c r="AJ24" s="91">
        <f t="shared" si="18"/>
        <v>0</v>
      </c>
      <c r="AK24" s="91">
        <f t="shared" si="18"/>
        <v>0</v>
      </c>
      <c r="AL24" s="91">
        <f t="shared" si="18"/>
        <v>89046</v>
      </c>
      <c r="AM24" s="91">
        <f t="shared" si="18"/>
        <v>0</v>
      </c>
      <c r="AN24" s="91">
        <f t="shared" si="18"/>
        <v>0</v>
      </c>
      <c r="AO24" s="91">
        <f t="shared" si="18"/>
        <v>140</v>
      </c>
      <c r="AP24" s="91">
        <f t="shared" si="18"/>
        <v>6</v>
      </c>
      <c r="AQ24" s="91">
        <f t="shared" si="18"/>
        <v>0</v>
      </c>
      <c r="AR24" s="91">
        <f t="shared" si="18"/>
        <v>89192</v>
      </c>
      <c r="AS24" s="91">
        <f t="shared" si="18"/>
        <v>0</v>
      </c>
      <c r="AT24" s="92">
        <f t="shared" si="18"/>
        <v>0</v>
      </c>
      <c r="AU24" s="92">
        <f t="shared" si="18"/>
        <v>0</v>
      </c>
      <c r="AV24" s="92">
        <f t="shared" si="18"/>
        <v>0</v>
      </c>
      <c r="AW24" s="92">
        <f t="shared" si="18"/>
        <v>89192</v>
      </c>
      <c r="AX24" s="92">
        <f t="shared" si="18"/>
        <v>0</v>
      </c>
      <c r="AY24" s="91">
        <f t="shared" si="18"/>
        <v>-5344</v>
      </c>
      <c r="AZ24" s="91">
        <f t="shared" si="18"/>
        <v>0</v>
      </c>
      <c r="BA24" s="91">
        <f t="shared" si="18"/>
        <v>0</v>
      </c>
      <c r="BB24" s="91">
        <f t="shared" si="18"/>
        <v>0</v>
      </c>
      <c r="BC24" s="91">
        <f t="shared" si="18"/>
        <v>0</v>
      </c>
      <c r="BD24" s="91">
        <f t="shared" si="18"/>
        <v>83848</v>
      </c>
      <c r="BE24" s="91">
        <f t="shared" si="18"/>
        <v>0</v>
      </c>
      <c r="BF24" s="91">
        <f t="shared" si="18"/>
        <v>0</v>
      </c>
      <c r="BG24" s="91">
        <f t="shared" si="18"/>
        <v>0</v>
      </c>
      <c r="BH24" s="91">
        <f t="shared" si="18"/>
        <v>0</v>
      </c>
      <c r="BI24" s="91">
        <f t="shared" si="18"/>
        <v>83848</v>
      </c>
      <c r="BJ24" s="91">
        <f t="shared" si="18"/>
        <v>0</v>
      </c>
      <c r="BK24" s="91">
        <f t="shared" si="18"/>
        <v>0</v>
      </c>
      <c r="BL24" s="91">
        <f t="shared" si="18"/>
        <v>0</v>
      </c>
      <c r="BM24" s="91">
        <f t="shared" si="18"/>
        <v>0</v>
      </c>
      <c r="BN24" s="91">
        <f t="shared" si="18"/>
        <v>0</v>
      </c>
      <c r="BO24" s="91">
        <f t="shared" si="18"/>
        <v>83848</v>
      </c>
      <c r="BP24" s="91">
        <f t="shared" si="18"/>
        <v>0</v>
      </c>
      <c r="BQ24" s="91">
        <f t="shared" si="18"/>
        <v>-105</v>
      </c>
      <c r="BR24" s="91"/>
      <c r="BS24" s="91">
        <f t="shared" si="18"/>
        <v>0</v>
      </c>
      <c r="BT24" s="91">
        <f t="shared" si="18"/>
        <v>0</v>
      </c>
      <c r="BU24" s="91">
        <f t="shared" si="18"/>
        <v>83743</v>
      </c>
      <c r="BV24" s="91">
        <f>BV25</f>
        <v>0</v>
      </c>
      <c r="BW24" s="91">
        <f t="shared" si="18"/>
        <v>83646</v>
      </c>
      <c r="BX24" s="91">
        <f>BX25</f>
        <v>0</v>
      </c>
      <c r="BY24" s="77">
        <f t="shared" si="17"/>
        <v>99.88416942311596</v>
      </c>
      <c r="BZ24" s="72"/>
    </row>
    <row r="25" spans="1:78" s="14" customFormat="1" ht="39" customHeight="1" hidden="1">
      <c r="A25" s="88" t="s">
        <v>129</v>
      </c>
      <c r="B25" s="89" t="s">
        <v>127</v>
      </c>
      <c r="C25" s="89" t="s">
        <v>132</v>
      </c>
      <c r="D25" s="90" t="s">
        <v>124</v>
      </c>
      <c r="E25" s="89" t="s">
        <v>130</v>
      </c>
      <c r="F25" s="91">
        <v>82397</v>
      </c>
      <c r="G25" s="75">
        <f>H25-F25</f>
        <v>10526</v>
      </c>
      <c r="H25" s="93">
        <f>89951+2972</f>
        <v>92923</v>
      </c>
      <c r="I25" s="93"/>
      <c r="J25" s="93"/>
      <c r="K25" s="93"/>
      <c r="L25" s="93"/>
      <c r="M25" s="75">
        <f>H25+J25+K25+L25</f>
        <v>92923</v>
      </c>
      <c r="N25" s="78">
        <f>I25+L25</f>
        <v>0</v>
      </c>
      <c r="O25" s="93"/>
      <c r="P25" s="93"/>
      <c r="Q25" s="78"/>
      <c r="R25" s="79"/>
      <c r="S25" s="75">
        <f>M25+O25+P25+Q25+R25</f>
        <v>92923</v>
      </c>
      <c r="T25" s="75">
        <f>N25+R25</f>
        <v>0</v>
      </c>
      <c r="U25" s="78"/>
      <c r="V25" s="78"/>
      <c r="W25" s="79"/>
      <c r="X25" s="75"/>
      <c r="Y25" s="79"/>
      <c r="Z25" s="79"/>
      <c r="AA25" s="79"/>
      <c r="AB25" s="75">
        <f>S25+U25+V25+W25+X25+Y25+Z25+AA25</f>
        <v>92923</v>
      </c>
      <c r="AC25" s="80">
        <f>T25+Z25+AA25</f>
        <v>0</v>
      </c>
      <c r="AD25" s="75">
        <v>7</v>
      </c>
      <c r="AE25" s="75">
        <v>150</v>
      </c>
      <c r="AF25" s="75">
        <f>-13075+9041</f>
        <v>-4034</v>
      </c>
      <c r="AG25" s="80"/>
      <c r="AH25" s="80"/>
      <c r="AI25" s="75">
        <f>AB25+AD25+AE25+AF25+AG25+AH25</f>
        <v>89046</v>
      </c>
      <c r="AJ25" s="75">
        <f>AC25+AH25</f>
        <v>0</v>
      </c>
      <c r="AK25" s="79"/>
      <c r="AL25" s="75">
        <f>AI25+AK25</f>
        <v>89046</v>
      </c>
      <c r="AM25" s="75">
        <f>AJ25</f>
        <v>0</v>
      </c>
      <c r="AN25" s="79"/>
      <c r="AO25" s="78">
        <v>140</v>
      </c>
      <c r="AP25" s="78">
        <v>6</v>
      </c>
      <c r="AQ25" s="79"/>
      <c r="AR25" s="75">
        <f>AL25+AN25+AO25+AP25+AQ25</f>
        <v>89192</v>
      </c>
      <c r="AS25" s="75">
        <f>AM25+AQ25</f>
        <v>0</v>
      </c>
      <c r="AT25" s="81"/>
      <c r="AU25" s="81"/>
      <c r="AV25" s="81"/>
      <c r="AW25" s="76">
        <f>AV25+AU25+AT25+AR25</f>
        <v>89192</v>
      </c>
      <c r="AX25" s="76">
        <f>AV25+AS25</f>
        <v>0</v>
      </c>
      <c r="AY25" s="75">
        <f>-6217+873</f>
        <v>-5344</v>
      </c>
      <c r="AZ25" s="75"/>
      <c r="BA25" s="75"/>
      <c r="BB25" s="75"/>
      <c r="BC25" s="75"/>
      <c r="BD25" s="75">
        <f>AW25+AY25+AZ25+BA25+BB25+BC25</f>
        <v>83848</v>
      </c>
      <c r="BE25" s="75">
        <f>AX25+BC25</f>
        <v>0</v>
      </c>
      <c r="BF25" s="79"/>
      <c r="BG25" s="79"/>
      <c r="BH25" s="79"/>
      <c r="BI25" s="75">
        <f>BD25+BF25+BG25+BH25</f>
        <v>83848</v>
      </c>
      <c r="BJ25" s="75">
        <f>BE25+BH25</f>
        <v>0</v>
      </c>
      <c r="BK25" s="78">
        <f>130-130</f>
        <v>0</v>
      </c>
      <c r="BL25" s="78">
        <f>7-7</f>
        <v>0</v>
      </c>
      <c r="BM25" s="78"/>
      <c r="BN25" s="78"/>
      <c r="BO25" s="75">
        <f>BI25+BK25+BL25+BM25+BN25</f>
        <v>83848</v>
      </c>
      <c r="BP25" s="75">
        <f>BJ25+BN25</f>
        <v>0</v>
      </c>
      <c r="BQ25" s="78">
        <v>-105</v>
      </c>
      <c r="BR25" s="78"/>
      <c r="BS25" s="79"/>
      <c r="BT25" s="79"/>
      <c r="BU25" s="75">
        <f>BO25+BQ25+BS25+BT25</f>
        <v>83743</v>
      </c>
      <c r="BV25" s="75">
        <f>BP25+BT25</f>
        <v>0</v>
      </c>
      <c r="BW25" s="75">
        <v>83646</v>
      </c>
      <c r="BX25" s="75">
        <f>BR25+BV25</f>
        <v>0</v>
      </c>
      <c r="BY25" s="77">
        <f t="shared" si="17"/>
        <v>99.88416942311596</v>
      </c>
      <c r="BZ25" s="72"/>
    </row>
    <row r="26" spans="1:78" s="16" customFormat="1" ht="37.5" customHeight="1" hidden="1">
      <c r="A26" s="88" t="s">
        <v>19</v>
      </c>
      <c r="B26" s="89" t="s">
        <v>127</v>
      </c>
      <c r="C26" s="89" t="s">
        <v>132</v>
      </c>
      <c r="D26" s="90" t="s">
        <v>124</v>
      </c>
      <c r="E26" s="89"/>
      <c r="F26" s="75">
        <f>F27</f>
        <v>680</v>
      </c>
      <c r="G26" s="75">
        <f>G27</f>
        <v>123</v>
      </c>
      <c r="H26" s="75">
        <f>H27</f>
        <v>803</v>
      </c>
      <c r="I26" s="75">
        <f aca="true" t="shared" si="19" ref="I26:BW26">I27</f>
        <v>0</v>
      </c>
      <c r="J26" s="75">
        <f t="shared" si="19"/>
        <v>0</v>
      </c>
      <c r="K26" s="75">
        <f t="shared" si="19"/>
        <v>0</v>
      </c>
      <c r="L26" s="75">
        <f t="shared" si="19"/>
        <v>0</v>
      </c>
      <c r="M26" s="75">
        <f t="shared" si="19"/>
        <v>803</v>
      </c>
      <c r="N26" s="75">
        <f t="shared" si="19"/>
        <v>0</v>
      </c>
      <c r="O26" s="75">
        <f t="shared" si="19"/>
        <v>0</v>
      </c>
      <c r="P26" s="75"/>
      <c r="Q26" s="75">
        <f t="shared" si="19"/>
        <v>0</v>
      </c>
      <c r="R26" s="75">
        <f t="shared" si="19"/>
        <v>0</v>
      </c>
      <c r="S26" s="75">
        <f t="shared" si="19"/>
        <v>803</v>
      </c>
      <c r="T26" s="75">
        <f t="shared" si="19"/>
        <v>0</v>
      </c>
      <c r="U26" s="75">
        <f t="shared" si="19"/>
        <v>0</v>
      </c>
      <c r="V26" s="75">
        <f t="shared" si="19"/>
        <v>0</v>
      </c>
      <c r="W26" s="75">
        <f t="shared" si="19"/>
        <v>0</v>
      </c>
      <c r="X26" s="75">
        <f t="shared" si="19"/>
        <v>0</v>
      </c>
      <c r="Y26" s="75">
        <f t="shared" si="19"/>
        <v>0</v>
      </c>
      <c r="Z26" s="75">
        <f t="shared" si="19"/>
        <v>0</v>
      </c>
      <c r="AA26" s="75">
        <f t="shared" si="19"/>
        <v>0</v>
      </c>
      <c r="AB26" s="75">
        <f t="shared" si="19"/>
        <v>803</v>
      </c>
      <c r="AC26" s="75">
        <f t="shared" si="19"/>
        <v>0</v>
      </c>
      <c r="AD26" s="75">
        <f t="shared" si="19"/>
        <v>0</v>
      </c>
      <c r="AE26" s="75">
        <f t="shared" si="19"/>
        <v>0</v>
      </c>
      <c r="AF26" s="75">
        <f t="shared" si="19"/>
        <v>0</v>
      </c>
      <c r="AG26" s="75">
        <f t="shared" si="19"/>
        <v>0</v>
      </c>
      <c r="AH26" s="75">
        <f t="shared" si="19"/>
        <v>0</v>
      </c>
      <c r="AI26" s="75">
        <f t="shared" si="19"/>
        <v>803</v>
      </c>
      <c r="AJ26" s="75">
        <f t="shared" si="19"/>
        <v>0</v>
      </c>
      <c r="AK26" s="75">
        <f t="shared" si="19"/>
        <v>0</v>
      </c>
      <c r="AL26" s="75">
        <f t="shared" si="19"/>
        <v>803</v>
      </c>
      <c r="AM26" s="75">
        <f t="shared" si="19"/>
        <v>0</v>
      </c>
      <c r="AN26" s="75">
        <f t="shared" si="19"/>
        <v>0</v>
      </c>
      <c r="AO26" s="75">
        <f t="shared" si="19"/>
        <v>0</v>
      </c>
      <c r="AP26" s="75">
        <f t="shared" si="19"/>
        <v>0</v>
      </c>
      <c r="AQ26" s="75">
        <f t="shared" si="19"/>
        <v>0</v>
      </c>
      <c r="AR26" s="75">
        <f t="shared" si="19"/>
        <v>803</v>
      </c>
      <c r="AS26" s="75">
        <f t="shared" si="19"/>
        <v>0</v>
      </c>
      <c r="AT26" s="76">
        <f t="shared" si="19"/>
        <v>0</v>
      </c>
      <c r="AU26" s="76">
        <f t="shared" si="19"/>
        <v>0</v>
      </c>
      <c r="AV26" s="76">
        <f t="shared" si="19"/>
        <v>0</v>
      </c>
      <c r="AW26" s="76">
        <f t="shared" si="19"/>
        <v>803</v>
      </c>
      <c r="AX26" s="76">
        <f t="shared" si="19"/>
        <v>0</v>
      </c>
      <c r="AY26" s="75">
        <f t="shared" si="19"/>
        <v>0</v>
      </c>
      <c r="AZ26" s="75">
        <f t="shared" si="19"/>
        <v>0</v>
      </c>
      <c r="BA26" s="75">
        <f t="shared" si="19"/>
        <v>0</v>
      </c>
      <c r="BB26" s="75">
        <f t="shared" si="19"/>
        <v>0</v>
      </c>
      <c r="BC26" s="75">
        <f t="shared" si="19"/>
        <v>0</v>
      </c>
      <c r="BD26" s="75">
        <f t="shared" si="19"/>
        <v>803</v>
      </c>
      <c r="BE26" s="75">
        <f t="shared" si="19"/>
        <v>0</v>
      </c>
      <c r="BF26" s="75">
        <f t="shared" si="19"/>
        <v>0</v>
      </c>
      <c r="BG26" s="75">
        <f t="shared" si="19"/>
        <v>0</v>
      </c>
      <c r="BH26" s="75">
        <f t="shared" si="19"/>
        <v>0</v>
      </c>
      <c r="BI26" s="75">
        <f t="shared" si="19"/>
        <v>803</v>
      </c>
      <c r="BJ26" s="75">
        <f t="shared" si="19"/>
        <v>0</v>
      </c>
      <c r="BK26" s="75">
        <f t="shared" si="19"/>
        <v>0</v>
      </c>
      <c r="BL26" s="75">
        <f t="shared" si="19"/>
        <v>0</v>
      </c>
      <c r="BM26" s="75">
        <f t="shared" si="19"/>
        <v>0</v>
      </c>
      <c r="BN26" s="75">
        <f t="shared" si="19"/>
        <v>0</v>
      </c>
      <c r="BO26" s="75">
        <f t="shared" si="19"/>
        <v>803</v>
      </c>
      <c r="BP26" s="75">
        <f t="shared" si="19"/>
        <v>0</v>
      </c>
      <c r="BQ26" s="75">
        <f t="shared" si="19"/>
        <v>0</v>
      </c>
      <c r="BR26" s="75"/>
      <c r="BS26" s="75">
        <f t="shared" si="19"/>
        <v>0</v>
      </c>
      <c r="BT26" s="75">
        <f t="shared" si="19"/>
        <v>0</v>
      </c>
      <c r="BU26" s="75">
        <f t="shared" si="19"/>
        <v>803</v>
      </c>
      <c r="BV26" s="75">
        <f>BV27</f>
        <v>0</v>
      </c>
      <c r="BW26" s="75">
        <f t="shared" si="19"/>
        <v>731</v>
      </c>
      <c r="BX26" s="75">
        <f>BX27</f>
        <v>0</v>
      </c>
      <c r="BY26" s="77">
        <f t="shared" si="17"/>
        <v>91.03362391033623</v>
      </c>
      <c r="BZ26" s="72"/>
    </row>
    <row r="27" spans="1:78" s="16" customFormat="1" ht="40.5" customHeight="1" hidden="1">
      <c r="A27" s="88" t="s">
        <v>129</v>
      </c>
      <c r="B27" s="89" t="s">
        <v>127</v>
      </c>
      <c r="C27" s="89" t="s">
        <v>132</v>
      </c>
      <c r="D27" s="90" t="s">
        <v>124</v>
      </c>
      <c r="E27" s="89" t="s">
        <v>130</v>
      </c>
      <c r="F27" s="75">
        <v>680</v>
      </c>
      <c r="G27" s="75">
        <f>H27-F27</f>
        <v>123</v>
      </c>
      <c r="H27" s="75">
        <v>803</v>
      </c>
      <c r="I27" s="94"/>
      <c r="J27" s="94"/>
      <c r="K27" s="94"/>
      <c r="L27" s="94"/>
      <c r="M27" s="75">
        <f>H27+J27+K27+L27</f>
        <v>803</v>
      </c>
      <c r="N27" s="78">
        <f>I27+L27</f>
        <v>0</v>
      </c>
      <c r="O27" s="94"/>
      <c r="P27" s="94"/>
      <c r="Q27" s="94"/>
      <c r="R27" s="94"/>
      <c r="S27" s="75">
        <f>M27+O27+Q27+R27</f>
        <v>803</v>
      </c>
      <c r="T27" s="75">
        <f>N27+R27</f>
        <v>0</v>
      </c>
      <c r="U27" s="94"/>
      <c r="V27" s="94"/>
      <c r="W27" s="94"/>
      <c r="X27" s="94"/>
      <c r="Y27" s="94"/>
      <c r="Z27" s="94"/>
      <c r="AA27" s="94"/>
      <c r="AB27" s="75">
        <f>S27+U27+V27+W27+X27+Y27+Z27+AA27</f>
        <v>803</v>
      </c>
      <c r="AC27" s="80">
        <f>T27+Z27+AA27</f>
        <v>0</v>
      </c>
      <c r="AD27" s="95"/>
      <c r="AE27" s="95"/>
      <c r="AF27" s="96"/>
      <c r="AG27" s="95"/>
      <c r="AH27" s="95"/>
      <c r="AI27" s="75">
        <f>AB27+AD27+AE27+AF27+AG27+AH27</f>
        <v>803</v>
      </c>
      <c r="AJ27" s="75">
        <f>AC27+AH27</f>
        <v>0</v>
      </c>
      <c r="AK27" s="94"/>
      <c r="AL27" s="75">
        <f>AI27+AK27</f>
        <v>803</v>
      </c>
      <c r="AM27" s="75">
        <f>AJ27</f>
        <v>0</v>
      </c>
      <c r="AN27" s="94"/>
      <c r="AO27" s="94"/>
      <c r="AP27" s="94"/>
      <c r="AQ27" s="94"/>
      <c r="AR27" s="75">
        <f>AL27+AN27+AO27+AP27+AQ27</f>
        <v>803</v>
      </c>
      <c r="AS27" s="75">
        <f>AM27+AQ27</f>
        <v>0</v>
      </c>
      <c r="AT27" s="97"/>
      <c r="AU27" s="97"/>
      <c r="AV27" s="97"/>
      <c r="AW27" s="76">
        <f>AV27+AU27+AT27+AR27</f>
        <v>803</v>
      </c>
      <c r="AX27" s="76">
        <f>AV27+AS27</f>
        <v>0</v>
      </c>
      <c r="AY27" s="96"/>
      <c r="AZ27" s="96"/>
      <c r="BA27" s="96"/>
      <c r="BB27" s="96"/>
      <c r="BC27" s="96"/>
      <c r="BD27" s="75">
        <f>AW27+AY27+AZ27+BA27+BB27+BC27</f>
        <v>803</v>
      </c>
      <c r="BE27" s="75">
        <f>AX27+BC27</f>
        <v>0</v>
      </c>
      <c r="BF27" s="94"/>
      <c r="BG27" s="94"/>
      <c r="BH27" s="94"/>
      <c r="BI27" s="75">
        <f>BD27+BF27+BG27+BH27</f>
        <v>803</v>
      </c>
      <c r="BJ27" s="75">
        <f>BE27+BH27</f>
        <v>0</v>
      </c>
      <c r="BK27" s="98"/>
      <c r="BL27" s="98"/>
      <c r="BM27" s="98"/>
      <c r="BN27" s="98"/>
      <c r="BO27" s="75">
        <f>BI27+BK27+BL27+BM27+BN27</f>
        <v>803</v>
      </c>
      <c r="BP27" s="75">
        <f>BJ27+BN27</f>
        <v>0</v>
      </c>
      <c r="BQ27" s="94"/>
      <c r="BR27" s="94"/>
      <c r="BS27" s="94"/>
      <c r="BT27" s="94"/>
      <c r="BU27" s="75">
        <f>BO27+BQ27+BS27+BT27</f>
        <v>803</v>
      </c>
      <c r="BV27" s="75">
        <f>BP27+BT27</f>
        <v>0</v>
      </c>
      <c r="BW27" s="75">
        <v>731</v>
      </c>
      <c r="BX27" s="75">
        <f>BR27+BV27</f>
        <v>0</v>
      </c>
      <c r="BY27" s="77">
        <f t="shared" si="17"/>
        <v>91.03362391033623</v>
      </c>
      <c r="BZ27" s="72"/>
    </row>
    <row r="28" spans="1:78" s="14" customFormat="1" ht="39" customHeight="1" hidden="1">
      <c r="A28" s="88" t="s">
        <v>20</v>
      </c>
      <c r="B28" s="89" t="s">
        <v>127</v>
      </c>
      <c r="C28" s="89" t="s">
        <v>132</v>
      </c>
      <c r="D28" s="90" t="s">
        <v>124</v>
      </c>
      <c r="E28" s="89"/>
      <c r="F28" s="75">
        <f>F29</f>
        <v>1088</v>
      </c>
      <c r="G28" s="75">
        <f>G29</f>
        <v>192</v>
      </c>
      <c r="H28" s="75">
        <f>H29</f>
        <v>1280</v>
      </c>
      <c r="I28" s="75">
        <f aca="true" t="shared" si="20" ref="I28:BW28">I29</f>
        <v>0</v>
      </c>
      <c r="J28" s="75">
        <f t="shared" si="20"/>
        <v>0</v>
      </c>
      <c r="K28" s="75">
        <f t="shared" si="20"/>
        <v>0</v>
      </c>
      <c r="L28" s="75">
        <f t="shared" si="20"/>
        <v>0</v>
      </c>
      <c r="M28" s="75">
        <f t="shared" si="20"/>
        <v>1280</v>
      </c>
      <c r="N28" s="75">
        <f t="shared" si="20"/>
        <v>0</v>
      </c>
      <c r="O28" s="75">
        <f t="shared" si="20"/>
        <v>0</v>
      </c>
      <c r="P28" s="75">
        <f t="shared" si="20"/>
        <v>0</v>
      </c>
      <c r="Q28" s="75">
        <f t="shared" si="20"/>
        <v>0</v>
      </c>
      <c r="R28" s="75">
        <f t="shared" si="20"/>
        <v>0</v>
      </c>
      <c r="S28" s="75">
        <f t="shared" si="20"/>
        <v>1280</v>
      </c>
      <c r="T28" s="75">
        <f t="shared" si="20"/>
        <v>0</v>
      </c>
      <c r="U28" s="75">
        <f t="shared" si="20"/>
        <v>0</v>
      </c>
      <c r="V28" s="75">
        <f t="shared" si="20"/>
        <v>0</v>
      </c>
      <c r="W28" s="75">
        <f t="shared" si="20"/>
        <v>0</v>
      </c>
      <c r="X28" s="75">
        <f t="shared" si="20"/>
        <v>0</v>
      </c>
      <c r="Y28" s="75">
        <f t="shared" si="20"/>
        <v>0</v>
      </c>
      <c r="Z28" s="75">
        <f t="shared" si="20"/>
        <v>0</v>
      </c>
      <c r="AA28" s="75">
        <f t="shared" si="20"/>
        <v>0</v>
      </c>
      <c r="AB28" s="75">
        <f t="shared" si="20"/>
        <v>1280</v>
      </c>
      <c r="AC28" s="75">
        <f t="shared" si="20"/>
        <v>0</v>
      </c>
      <c r="AD28" s="75">
        <f t="shared" si="20"/>
        <v>0</v>
      </c>
      <c r="AE28" s="75">
        <f t="shared" si="20"/>
        <v>0</v>
      </c>
      <c r="AF28" s="75">
        <f t="shared" si="20"/>
        <v>0</v>
      </c>
      <c r="AG28" s="75">
        <f t="shared" si="20"/>
        <v>0</v>
      </c>
      <c r="AH28" s="75">
        <f t="shared" si="20"/>
        <v>0</v>
      </c>
      <c r="AI28" s="75">
        <f t="shared" si="20"/>
        <v>1280</v>
      </c>
      <c r="AJ28" s="75">
        <f t="shared" si="20"/>
        <v>0</v>
      </c>
      <c r="AK28" s="75">
        <f t="shared" si="20"/>
        <v>0</v>
      </c>
      <c r="AL28" s="75">
        <f t="shared" si="20"/>
        <v>1280</v>
      </c>
      <c r="AM28" s="75">
        <f t="shared" si="20"/>
        <v>0</v>
      </c>
      <c r="AN28" s="75">
        <f t="shared" si="20"/>
        <v>0</v>
      </c>
      <c r="AO28" s="75">
        <f t="shared" si="20"/>
        <v>0</v>
      </c>
      <c r="AP28" s="75">
        <f t="shared" si="20"/>
        <v>0</v>
      </c>
      <c r="AQ28" s="75">
        <f t="shared" si="20"/>
        <v>0</v>
      </c>
      <c r="AR28" s="75">
        <f t="shared" si="20"/>
        <v>1280</v>
      </c>
      <c r="AS28" s="75">
        <f t="shared" si="20"/>
        <v>0</v>
      </c>
      <c r="AT28" s="76">
        <f t="shared" si="20"/>
        <v>0</v>
      </c>
      <c r="AU28" s="76">
        <f t="shared" si="20"/>
        <v>0</v>
      </c>
      <c r="AV28" s="76">
        <f t="shared" si="20"/>
        <v>0</v>
      </c>
      <c r="AW28" s="76">
        <f t="shared" si="20"/>
        <v>1280</v>
      </c>
      <c r="AX28" s="76">
        <f t="shared" si="20"/>
        <v>0</v>
      </c>
      <c r="AY28" s="75">
        <f t="shared" si="20"/>
        <v>0</v>
      </c>
      <c r="AZ28" s="75">
        <f t="shared" si="20"/>
        <v>0</v>
      </c>
      <c r="BA28" s="75">
        <f t="shared" si="20"/>
        <v>0</v>
      </c>
      <c r="BB28" s="75">
        <f t="shared" si="20"/>
        <v>0</v>
      </c>
      <c r="BC28" s="75">
        <f t="shared" si="20"/>
        <v>0</v>
      </c>
      <c r="BD28" s="75">
        <f t="shared" si="20"/>
        <v>1280</v>
      </c>
      <c r="BE28" s="75">
        <f t="shared" si="20"/>
        <v>0</v>
      </c>
      <c r="BF28" s="75">
        <f t="shared" si="20"/>
        <v>0</v>
      </c>
      <c r="BG28" s="75">
        <f t="shared" si="20"/>
        <v>0</v>
      </c>
      <c r="BH28" s="75">
        <f t="shared" si="20"/>
        <v>0</v>
      </c>
      <c r="BI28" s="75">
        <f t="shared" si="20"/>
        <v>1280</v>
      </c>
      <c r="BJ28" s="75">
        <f t="shared" si="20"/>
        <v>0</v>
      </c>
      <c r="BK28" s="75">
        <f t="shared" si="20"/>
        <v>0</v>
      </c>
      <c r="BL28" s="75">
        <f t="shared" si="20"/>
        <v>0</v>
      </c>
      <c r="BM28" s="75">
        <f t="shared" si="20"/>
        <v>0</v>
      </c>
      <c r="BN28" s="75">
        <f t="shared" si="20"/>
        <v>0</v>
      </c>
      <c r="BO28" s="75">
        <f t="shared" si="20"/>
        <v>1280</v>
      </c>
      <c r="BP28" s="75">
        <f t="shared" si="20"/>
        <v>0</v>
      </c>
      <c r="BQ28" s="75">
        <f t="shared" si="20"/>
        <v>0</v>
      </c>
      <c r="BR28" s="75"/>
      <c r="BS28" s="75">
        <f t="shared" si="20"/>
        <v>0</v>
      </c>
      <c r="BT28" s="75">
        <f t="shared" si="20"/>
        <v>0</v>
      </c>
      <c r="BU28" s="75">
        <f t="shared" si="20"/>
        <v>1280</v>
      </c>
      <c r="BV28" s="75">
        <f>BV29</f>
        <v>0</v>
      </c>
      <c r="BW28" s="75">
        <f t="shared" si="20"/>
        <v>790</v>
      </c>
      <c r="BX28" s="75">
        <f>BX29</f>
        <v>0</v>
      </c>
      <c r="BY28" s="77">
        <f t="shared" si="17"/>
        <v>61.71875</v>
      </c>
      <c r="BZ28" s="72"/>
    </row>
    <row r="29" spans="1:78" s="16" customFormat="1" ht="35.25" customHeight="1" hidden="1">
      <c r="A29" s="88" t="s">
        <v>129</v>
      </c>
      <c r="B29" s="89" t="s">
        <v>127</v>
      </c>
      <c r="C29" s="89" t="s">
        <v>132</v>
      </c>
      <c r="D29" s="90" t="s">
        <v>124</v>
      </c>
      <c r="E29" s="89" t="s">
        <v>130</v>
      </c>
      <c r="F29" s="75">
        <v>1088</v>
      </c>
      <c r="G29" s="75">
        <f>H29-F29</f>
        <v>192</v>
      </c>
      <c r="H29" s="75">
        <v>1280</v>
      </c>
      <c r="I29" s="94"/>
      <c r="J29" s="94"/>
      <c r="K29" s="94"/>
      <c r="L29" s="94"/>
      <c r="M29" s="75">
        <f>H29+J29+K29+L29</f>
        <v>1280</v>
      </c>
      <c r="N29" s="78">
        <f>I29+L29</f>
        <v>0</v>
      </c>
      <c r="O29" s="94"/>
      <c r="P29" s="78"/>
      <c r="Q29" s="78"/>
      <c r="R29" s="94"/>
      <c r="S29" s="75">
        <f>M29+O29+P29+Q29+R29</f>
        <v>1280</v>
      </c>
      <c r="T29" s="75">
        <f>N29+R29</f>
        <v>0</v>
      </c>
      <c r="U29" s="94"/>
      <c r="V29" s="94"/>
      <c r="W29" s="94"/>
      <c r="X29" s="94"/>
      <c r="Y29" s="94"/>
      <c r="Z29" s="94"/>
      <c r="AA29" s="94"/>
      <c r="AB29" s="75">
        <f>S29+U29+V29+W29+X29+Y29+Z29+AA29</f>
        <v>1280</v>
      </c>
      <c r="AC29" s="80">
        <f>T29+Z29+AA29</f>
        <v>0</v>
      </c>
      <c r="AD29" s="95"/>
      <c r="AE29" s="95"/>
      <c r="AF29" s="96"/>
      <c r="AG29" s="95"/>
      <c r="AH29" s="95"/>
      <c r="AI29" s="75">
        <f>AB29+AD29+AE29+AF29+AG29+AH29</f>
        <v>1280</v>
      </c>
      <c r="AJ29" s="75">
        <f>AC29+AH29</f>
        <v>0</v>
      </c>
      <c r="AK29" s="94"/>
      <c r="AL29" s="75">
        <f>AI29+AK29</f>
        <v>1280</v>
      </c>
      <c r="AM29" s="75">
        <f>AJ29</f>
        <v>0</v>
      </c>
      <c r="AN29" s="94"/>
      <c r="AO29" s="94"/>
      <c r="AP29" s="94"/>
      <c r="AQ29" s="94"/>
      <c r="AR29" s="75">
        <f>AL29+AN29+AO29+AP29+AQ29</f>
        <v>1280</v>
      </c>
      <c r="AS29" s="75">
        <f>AM29+AQ29</f>
        <v>0</v>
      </c>
      <c r="AT29" s="97"/>
      <c r="AU29" s="97"/>
      <c r="AV29" s="97"/>
      <c r="AW29" s="76">
        <f>AV29+AU29+AT29+AR29</f>
        <v>1280</v>
      </c>
      <c r="AX29" s="76">
        <f>AV29+AS29</f>
        <v>0</v>
      </c>
      <c r="AY29" s="96"/>
      <c r="AZ29" s="96"/>
      <c r="BA29" s="96"/>
      <c r="BB29" s="96"/>
      <c r="BC29" s="96"/>
      <c r="BD29" s="75">
        <f>AW29+AY29+AZ29+BA29+BB29+BC29</f>
        <v>1280</v>
      </c>
      <c r="BE29" s="75">
        <f>AX29+BC29</f>
        <v>0</v>
      </c>
      <c r="BF29" s="94"/>
      <c r="BG29" s="94"/>
      <c r="BH29" s="94"/>
      <c r="BI29" s="75">
        <f>BD29+BF29+BG29+BH29</f>
        <v>1280</v>
      </c>
      <c r="BJ29" s="75">
        <f>BE29+BH29</f>
        <v>0</v>
      </c>
      <c r="BK29" s="98"/>
      <c r="BL29" s="98"/>
      <c r="BM29" s="98"/>
      <c r="BN29" s="98"/>
      <c r="BO29" s="75">
        <f>BI29+BK29+BL29+BM29+BN29</f>
        <v>1280</v>
      </c>
      <c r="BP29" s="75">
        <f>BJ29+BN29</f>
        <v>0</v>
      </c>
      <c r="BQ29" s="94"/>
      <c r="BR29" s="94"/>
      <c r="BS29" s="94"/>
      <c r="BT29" s="94"/>
      <c r="BU29" s="75">
        <f>BO29+BQ29+BS29+BT29</f>
        <v>1280</v>
      </c>
      <c r="BV29" s="75">
        <f>BP29+BT29</f>
        <v>0</v>
      </c>
      <c r="BW29" s="75">
        <v>790</v>
      </c>
      <c r="BX29" s="75">
        <f>BR29+BV29</f>
        <v>0</v>
      </c>
      <c r="BY29" s="77">
        <f t="shared" si="17"/>
        <v>61.71875</v>
      </c>
      <c r="BZ29" s="72"/>
    </row>
    <row r="30" spans="1:78" s="16" customFormat="1" ht="15.75" customHeight="1">
      <c r="A30" s="88"/>
      <c r="B30" s="89"/>
      <c r="C30" s="89"/>
      <c r="D30" s="90"/>
      <c r="E30" s="89"/>
      <c r="F30" s="9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6"/>
      <c r="T30" s="96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6"/>
      <c r="AG30" s="95"/>
      <c r="AH30" s="95"/>
      <c r="AI30" s="95"/>
      <c r="AJ30" s="95"/>
      <c r="AK30" s="94"/>
      <c r="AL30" s="94"/>
      <c r="AM30" s="94"/>
      <c r="AN30" s="94"/>
      <c r="AO30" s="94"/>
      <c r="AP30" s="94"/>
      <c r="AQ30" s="94"/>
      <c r="AR30" s="94"/>
      <c r="AS30" s="94"/>
      <c r="AT30" s="97"/>
      <c r="AU30" s="97"/>
      <c r="AV30" s="97"/>
      <c r="AW30" s="97"/>
      <c r="AX30" s="97"/>
      <c r="AY30" s="96"/>
      <c r="AZ30" s="96"/>
      <c r="BA30" s="96"/>
      <c r="BB30" s="96"/>
      <c r="BC30" s="96"/>
      <c r="BD30" s="98"/>
      <c r="BE30" s="98"/>
      <c r="BF30" s="94"/>
      <c r="BG30" s="94"/>
      <c r="BH30" s="94"/>
      <c r="BI30" s="94"/>
      <c r="BJ30" s="94"/>
      <c r="BK30" s="98"/>
      <c r="BL30" s="98"/>
      <c r="BM30" s="98"/>
      <c r="BN30" s="98"/>
      <c r="BO30" s="98"/>
      <c r="BP30" s="98"/>
      <c r="BQ30" s="94"/>
      <c r="BR30" s="94"/>
      <c r="BS30" s="94"/>
      <c r="BT30" s="94"/>
      <c r="BU30" s="94"/>
      <c r="BV30" s="94"/>
      <c r="BW30" s="94"/>
      <c r="BX30" s="94"/>
      <c r="BY30" s="72"/>
      <c r="BZ30" s="72"/>
    </row>
    <row r="31" spans="1:78" s="12" customFormat="1" ht="113.25" customHeight="1">
      <c r="A31" s="66" t="s">
        <v>134</v>
      </c>
      <c r="B31" s="67" t="s">
        <v>127</v>
      </c>
      <c r="C31" s="67" t="s">
        <v>135</v>
      </c>
      <c r="D31" s="85"/>
      <c r="E31" s="67"/>
      <c r="F31" s="69">
        <f>F32</f>
        <v>529364</v>
      </c>
      <c r="G31" s="69">
        <f aca="true" t="shared" si="21" ref="G31:V32">G32</f>
        <v>245362</v>
      </c>
      <c r="H31" s="69">
        <f t="shared" si="21"/>
        <v>774726</v>
      </c>
      <c r="I31" s="69">
        <f t="shared" si="21"/>
        <v>151354</v>
      </c>
      <c r="J31" s="69">
        <f t="shared" si="21"/>
        <v>0</v>
      </c>
      <c r="K31" s="69">
        <f t="shared" si="21"/>
        <v>0</v>
      </c>
      <c r="L31" s="69">
        <f t="shared" si="21"/>
        <v>0</v>
      </c>
      <c r="M31" s="69">
        <f t="shared" si="21"/>
        <v>774726</v>
      </c>
      <c r="N31" s="69">
        <f t="shared" si="21"/>
        <v>151354</v>
      </c>
      <c r="O31" s="69">
        <f t="shared" si="21"/>
        <v>0</v>
      </c>
      <c r="P31" s="69">
        <f t="shared" si="21"/>
        <v>0</v>
      </c>
      <c r="Q31" s="69">
        <f t="shared" si="21"/>
        <v>0</v>
      </c>
      <c r="R31" s="69">
        <f t="shared" si="21"/>
        <v>0</v>
      </c>
      <c r="S31" s="69">
        <f t="shared" si="21"/>
        <v>774726</v>
      </c>
      <c r="T31" s="69">
        <f t="shared" si="21"/>
        <v>151354</v>
      </c>
      <c r="U31" s="69">
        <f t="shared" si="21"/>
        <v>0</v>
      </c>
      <c r="V31" s="69">
        <f t="shared" si="21"/>
        <v>0</v>
      </c>
      <c r="W31" s="69">
        <f aca="true" t="shared" si="22" ref="U31:AK32">W32</f>
        <v>0</v>
      </c>
      <c r="X31" s="69">
        <f t="shared" si="22"/>
        <v>0</v>
      </c>
      <c r="Y31" s="69">
        <f t="shared" si="22"/>
        <v>0</v>
      </c>
      <c r="Z31" s="69">
        <f t="shared" si="22"/>
        <v>-3090</v>
      </c>
      <c r="AA31" s="69">
        <f t="shared" si="22"/>
        <v>0</v>
      </c>
      <c r="AB31" s="69">
        <f t="shared" si="22"/>
        <v>771636</v>
      </c>
      <c r="AC31" s="69">
        <f t="shared" si="22"/>
        <v>148264</v>
      </c>
      <c r="AD31" s="69">
        <f t="shared" si="22"/>
        <v>43</v>
      </c>
      <c r="AE31" s="69">
        <f t="shared" si="22"/>
        <v>2247</v>
      </c>
      <c r="AF31" s="69">
        <f t="shared" si="22"/>
        <v>-42205</v>
      </c>
      <c r="AG31" s="69">
        <f t="shared" si="22"/>
        <v>0</v>
      </c>
      <c r="AH31" s="69">
        <f t="shared" si="22"/>
        <v>0</v>
      </c>
      <c r="AI31" s="69">
        <f t="shared" si="22"/>
        <v>731721</v>
      </c>
      <c r="AJ31" s="69">
        <f t="shared" si="22"/>
        <v>148264</v>
      </c>
      <c r="AK31" s="69">
        <f t="shared" si="22"/>
        <v>0</v>
      </c>
      <c r="AL31" s="69">
        <f>AL32</f>
        <v>731721</v>
      </c>
      <c r="AM31" s="69">
        <f>AM32</f>
        <v>148264</v>
      </c>
      <c r="AN31" s="69">
        <f aca="true" t="shared" si="23" ref="AN31:BF32">AN32</f>
        <v>-2015</v>
      </c>
      <c r="AO31" s="69">
        <f t="shared" si="23"/>
        <v>2209</v>
      </c>
      <c r="AP31" s="69">
        <f t="shared" si="23"/>
        <v>44</v>
      </c>
      <c r="AQ31" s="69">
        <f t="shared" si="23"/>
        <v>-7226</v>
      </c>
      <c r="AR31" s="69">
        <f t="shared" si="23"/>
        <v>724733</v>
      </c>
      <c r="AS31" s="69">
        <f t="shared" si="23"/>
        <v>141038</v>
      </c>
      <c r="AT31" s="70">
        <f t="shared" si="23"/>
        <v>0</v>
      </c>
      <c r="AU31" s="70">
        <f t="shared" si="23"/>
        <v>0</v>
      </c>
      <c r="AV31" s="70">
        <f t="shared" si="23"/>
        <v>0</v>
      </c>
      <c r="AW31" s="70">
        <f t="shared" si="23"/>
        <v>724733</v>
      </c>
      <c r="AX31" s="70">
        <f t="shared" si="23"/>
        <v>141038</v>
      </c>
      <c r="AY31" s="69">
        <f t="shared" si="23"/>
        <v>-9152</v>
      </c>
      <c r="AZ31" s="69">
        <f t="shared" si="23"/>
        <v>0</v>
      </c>
      <c r="BA31" s="69">
        <f t="shared" si="23"/>
        <v>0</v>
      </c>
      <c r="BB31" s="69">
        <f t="shared" si="23"/>
        <v>0</v>
      </c>
      <c r="BC31" s="69">
        <f t="shared" si="23"/>
        <v>0</v>
      </c>
      <c r="BD31" s="69">
        <f t="shared" si="23"/>
        <v>715581</v>
      </c>
      <c r="BE31" s="69">
        <f t="shared" si="23"/>
        <v>141038</v>
      </c>
      <c r="BF31" s="69">
        <f t="shared" si="23"/>
        <v>0</v>
      </c>
      <c r="BG31" s="69">
        <f aca="true" t="shared" si="24" ref="BF31:BW32">BG32</f>
        <v>0</v>
      </c>
      <c r="BH31" s="69">
        <f t="shared" si="24"/>
        <v>0</v>
      </c>
      <c r="BI31" s="69">
        <f t="shared" si="24"/>
        <v>715581</v>
      </c>
      <c r="BJ31" s="69">
        <f t="shared" si="24"/>
        <v>141038</v>
      </c>
      <c r="BK31" s="69">
        <f t="shared" si="24"/>
        <v>4</v>
      </c>
      <c r="BL31" s="69">
        <f t="shared" si="24"/>
        <v>0</v>
      </c>
      <c r="BM31" s="69">
        <f t="shared" si="24"/>
        <v>1554</v>
      </c>
      <c r="BN31" s="69">
        <f t="shared" si="24"/>
        <v>0</v>
      </c>
      <c r="BO31" s="69">
        <f t="shared" si="24"/>
        <v>717139</v>
      </c>
      <c r="BP31" s="69">
        <f t="shared" si="24"/>
        <v>141038</v>
      </c>
      <c r="BQ31" s="69">
        <f t="shared" si="24"/>
        <v>-2288</v>
      </c>
      <c r="BR31" s="69"/>
      <c r="BS31" s="69">
        <f t="shared" si="24"/>
        <v>-441</v>
      </c>
      <c r="BT31" s="69">
        <f t="shared" si="24"/>
        <v>0</v>
      </c>
      <c r="BU31" s="69">
        <f t="shared" si="24"/>
        <v>714410</v>
      </c>
      <c r="BV31" s="69">
        <f t="shared" si="24"/>
        <v>141038</v>
      </c>
      <c r="BW31" s="69">
        <f t="shared" si="24"/>
        <v>690278</v>
      </c>
      <c r="BX31" s="69">
        <f>BX32</f>
        <v>130733</v>
      </c>
      <c r="BY31" s="71">
        <f aca="true" t="shared" si="25" ref="BY31:BZ33">BW31/BU31*100</f>
        <v>96.62210775325093</v>
      </c>
      <c r="BZ31" s="71">
        <f t="shared" si="25"/>
        <v>92.69345850054596</v>
      </c>
    </row>
    <row r="32" spans="1:78" s="13" customFormat="1" ht="88.5" customHeight="1" hidden="1">
      <c r="A32" s="88" t="s">
        <v>133</v>
      </c>
      <c r="B32" s="89" t="s">
        <v>127</v>
      </c>
      <c r="C32" s="89" t="s">
        <v>135</v>
      </c>
      <c r="D32" s="90" t="s">
        <v>124</v>
      </c>
      <c r="E32" s="89"/>
      <c r="F32" s="75">
        <f>F33</f>
        <v>529364</v>
      </c>
      <c r="G32" s="75">
        <f t="shared" si="21"/>
        <v>245362</v>
      </c>
      <c r="H32" s="75">
        <f t="shared" si="21"/>
        <v>774726</v>
      </c>
      <c r="I32" s="75">
        <f t="shared" si="21"/>
        <v>151354</v>
      </c>
      <c r="J32" s="75">
        <f t="shared" si="21"/>
        <v>0</v>
      </c>
      <c r="K32" s="75">
        <f t="shared" si="21"/>
        <v>0</v>
      </c>
      <c r="L32" s="75">
        <f t="shared" si="21"/>
        <v>0</v>
      </c>
      <c r="M32" s="75">
        <f t="shared" si="21"/>
        <v>774726</v>
      </c>
      <c r="N32" s="75">
        <f t="shared" si="21"/>
        <v>151354</v>
      </c>
      <c r="O32" s="75">
        <f t="shared" si="21"/>
        <v>0</v>
      </c>
      <c r="P32" s="75"/>
      <c r="Q32" s="75">
        <f t="shared" si="21"/>
        <v>0</v>
      </c>
      <c r="R32" s="75">
        <f t="shared" si="21"/>
        <v>0</v>
      </c>
      <c r="S32" s="75">
        <f t="shared" si="21"/>
        <v>774726</v>
      </c>
      <c r="T32" s="75">
        <f t="shared" si="21"/>
        <v>151354</v>
      </c>
      <c r="U32" s="75">
        <f t="shared" si="22"/>
        <v>0</v>
      </c>
      <c r="V32" s="75">
        <f t="shared" si="22"/>
        <v>0</v>
      </c>
      <c r="W32" s="75">
        <f t="shared" si="22"/>
        <v>0</v>
      </c>
      <c r="X32" s="75">
        <f t="shared" si="22"/>
        <v>0</v>
      </c>
      <c r="Y32" s="75">
        <f t="shared" si="22"/>
        <v>0</v>
      </c>
      <c r="Z32" s="75">
        <f t="shared" si="22"/>
        <v>-3090</v>
      </c>
      <c r="AA32" s="75">
        <f t="shared" si="22"/>
        <v>0</v>
      </c>
      <c r="AB32" s="75">
        <f t="shared" si="22"/>
        <v>771636</v>
      </c>
      <c r="AC32" s="75">
        <f t="shared" si="22"/>
        <v>148264</v>
      </c>
      <c r="AD32" s="75">
        <f t="shared" si="22"/>
        <v>43</v>
      </c>
      <c r="AE32" s="75">
        <f t="shared" si="22"/>
        <v>2247</v>
      </c>
      <c r="AF32" s="75">
        <f t="shared" si="22"/>
        <v>-42205</v>
      </c>
      <c r="AG32" s="75">
        <f t="shared" si="22"/>
        <v>0</v>
      </c>
      <c r="AH32" s="75">
        <f t="shared" si="22"/>
        <v>0</v>
      </c>
      <c r="AI32" s="75">
        <f t="shared" si="22"/>
        <v>731721</v>
      </c>
      <c r="AJ32" s="75">
        <f t="shared" si="22"/>
        <v>148264</v>
      </c>
      <c r="AK32" s="75">
        <f t="shared" si="22"/>
        <v>0</v>
      </c>
      <c r="AL32" s="75">
        <f>AL33</f>
        <v>731721</v>
      </c>
      <c r="AM32" s="75">
        <f>AM33</f>
        <v>148264</v>
      </c>
      <c r="AN32" s="75">
        <f t="shared" si="23"/>
        <v>-2015</v>
      </c>
      <c r="AO32" s="75">
        <f t="shared" si="23"/>
        <v>2209</v>
      </c>
      <c r="AP32" s="75">
        <f t="shared" si="23"/>
        <v>44</v>
      </c>
      <c r="AQ32" s="75">
        <f t="shared" si="23"/>
        <v>-7226</v>
      </c>
      <c r="AR32" s="75">
        <f t="shared" si="23"/>
        <v>724733</v>
      </c>
      <c r="AS32" s="75">
        <f t="shared" si="23"/>
        <v>141038</v>
      </c>
      <c r="AT32" s="76">
        <f t="shared" si="23"/>
        <v>0</v>
      </c>
      <c r="AU32" s="76">
        <f t="shared" si="23"/>
        <v>0</v>
      </c>
      <c r="AV32" s="76">
        <f t="shared" si="23"/>
        <v>0</v>
      </c>
      <c r="AW32" s="76">
        <f t="shared" si="23"/>
        <v>724733</v>
      </c>
      <c r="AX32" s="76">
        <f t="shared" si="23"/>
        <v>141038</v>
      </c>
      <c r="AY32" s="75">
        <f t="shared" si="23"/>
        <v>-9152</v>
      </c>
      <c r="AZ32" s="75">
        <f t="shared" si="23"/>
        <v>0</v>
      </c>
      <c r="BA32" s="75">
        <f t="shared" si="23"/>
        <v>0</v>
      </c>
      <c r="BB32" s="75">
        <f t="shared" si="23"/>
        <v>0</v>
      </c>
      <c r="BC32" s="75">
        <f t="shared" si="23"/>
        <v>0</v>
      </c>
      <c r="BD32" s="75">
        <f t="shared" si="23"/>
        <v>715581</v>
      </c>
      <c r="BE32" s="75">
        <f t="shared" si="23"/>
        <v>141038</v>
      </c>
      <c r="BF32" s="75">
        <f t="shared" si="24"/>
        <v>0</v>
      </c>
      <c r="BG32" s="75">
        <f t="shared" si="24"/>
        <v>0</v>
      </c>
      <c r="BH32" s="75">
        <f t="shared" si="24"/>
        <v>0</v>
      </c>
      <c r="BI32" s="75">
        <f t="shared" si="24"/>
        <v>715581</v>
      </c>
      <c r="BJ32" s="75">
        <f t="shared" si="24"/>
        <v>141038</v>
      </c>
      <c r="BK32" s="75">
        <f t="shared" si="24"/>
        <v>4</v>
      </c>
      <c r="BL32" s="75">
        <f t="shared" si="24"/>
        <v>0</v>
      </c>
      <c r="BM32" s="75">
        <f t="shared" si="24"/>
        <v>1554</v>
      </c>
      <c r="BN32" s="75">
        <f t="shared" si="24"/>
        <v>0</v>
      </c>
      <c r="BO32" s="75">
        <f t="shared" si="24"/>
        <v>717139</v>
      </c>
      <c r="BP32" s="75">
        <f t="shared" si="24"/>
        <v>141038</v>
      </c>
      <c r="BQ32" s="75">
        <f t="shared" si="24"/>
        <v>-2288</v>
      </c>
      <c r="BR32" s="75"/>
      <c r="BS32" s="75">
        <f t="shared" si="24"/>
        <v>-441</v>
      </c>
      <c r="BT32" s="75">
        <f t="shared" si="24"/>
        <v>0</v>
      </c>
      <c r="BU32" s="75">
        <f t="shared" si="24"/>
        <v>714410</v>
      </c>
      <c r="BV32" s="75">
        <f t="shared" si="24"/>
        <v>141038</v>
      </c>
      <c r="BW32" s="75">
        <f>BW33</f>
        <v>690278</v>
      </c>
      <c r="BX32" s="75">
        <f>BX33</f>
        <v>130733</v>
      </c>
      <c r="BY32" s="77">
        <f t="shared" si="25"/>
        <v>96.62210775325093</v>
      </c>
      <c r="BZ32" s="77">
        <f t="shared" si="25"/>
        <v>92.69345850054596</v>
      </c>
    </row>
    <row r="33" spans="1:78" s="14" customFormat="1" ht="38.25" customHeight="1" hidden="1">
      <c r="A33" s="88" t="s">
        <v>129</v>
      </c>
      <c r="B33" s="89" t="s">
        <v>127</v>
      </c>
      <c r="C33" s="89" t="s">
        <v>135</v>
      </c>
      <c r="D33" s="90" t="s">
        <v>124</v>
      </c>
      <c r="E33" s="89" t="s">
        <v>130</v>
      </c>
      <c r="F33" s="99">
        <v>529364</v>
      </c>
      <c r="G33" s="75">
        <f>H33-F33</f>
        <v>245362</v>
      </c>
      <c r="H33" s="100">
        <f>680263+82959+11504</f>
        <v>774726</v>
      </c>
      <c r="I33" s="100">
        <f>72171+79183</f>
        <v>151354</v>
      </c>
      <c r="J33" s="100"/>
      <c r="K33" s="100"/>
      <c r="L33" s="100"/>
      <c r="M33" s="75">
        <f>H33+J33+K33+L33</f>
        <v>774726</v>
      </c>
      <c r="N33" s="75">
        <f>I33+L33</f>
        <v>151354</v>
      </c>
      <c r="O33" s="100"/>
      <c r="P33" s="100"/>
      <c r="Q33" s="78"/>
      <c r="R33" s="75"/>
      <c r="S33" s="75">
        <f>M33+O33+P33+Q33+R33</f>
        <v>774726</v>
      </c>
      <c r="T33" s="75">
        <f>N33+R33</f>
        <v>151354</v>
      </c>
      <c r="U33" s="78"/>
      <c r="V33" s="75"/>
      <c r="W33" s="79"/>
      <c r="X33" s="75"/>
      <c r="Y33" s="79"/>
      <c r="Z33" s="75">
        <v>-3090</v>
      </c>
      <c r="AA33" s="79"/>
      <c r="AB33" s="75">
        <f>S33+U33+V33+W33+X33+Y33+Z33+AA33</f>
        <v>771636</v>
      </c>
      <c r="AC33" s="75">
        <f>T33+Z33+AA33</f>
        <v>148264</v>
      </c>
      <c r="AD33" s="75">
        <v>43</v>
      </c>
      <c r="AE33" s="75">
        <f>35+6+3+2199+3+1</f>
        <v>2247</v>
      </c>
      <c r="AF33" s="75">
        <f>-41705-500</f>
        <v>-42205</v>
      </c>
      <c r="AG33" s="80"/>
      <c r="AH33" s="80"/>
      <c r="AI33" s="75">
        <f>AB33+AD33+AE33+AF33+AG33+AH33</f>
        <v>731721</v>
      </c>
      <c r="AJ33" s="75">
        <f>AC33+AH33</f>
        <v>148264</v>
      </c>
      <c r="AK33" s="79"/>
      <c r="AL33" s="75">
        <f>AI33+AK33</f>
        <v>731721</v>
      </c>
      <c r="AM33" s="75">
        <f>AJ33</f>
        <v>148264</v>
      </c>
      <c r="AN33" s="75">
        <f>183-2198</f>
        <v>-2015</v>
      </c>
      <c r="AO33" s="75">
        <f>2171+30+4+1+2+1</f>
        <v>2209</v>
      </c>
      <c r="AP33" s="78">
        <v>44</v>
      </c>
      <c r="AQ33" s="75">
        <f>-51-1239-5936</f>
        <v>-7226</v>
      </c>
      <c r="AR33" s="75">
        <f>AL33+AN33+AO33+AP33+AQ33</f>
        <v>724733</v>
      </c>
      <c r="AS33" s="75">
        <f>AM33+AQ33</f>
        <v>141038</v>
      </c>
      <c r="AT33" s="76"/>
      <c r="AU33" s="76"/>
      <c r="AV33" s="76"/>
      <c r="AW33" s="76">
        <f>AV33+AU33+AT33+AR33</f>
        <v>724733</v>
      </c>
      <c r="AX33" s="76">
        <f>AV33+AS33</f>
        <v>141038</v>
      </c>
      <c r="AY33" s="75">
        <f>-3748-5404</f>
        <v>-9152</v>
      </c>
      <c r="AZ33" s="75"/>
      <c r="BA33" s="75"/>
      <c r="BB33" s="75"/>
      <c r="BC33" s="75"/>
      <c r="BD33" s="75">
        <f>AW33+AY33+AZ33+BA33+BB33+BC33</f>
        <v>715581</v>
      </c>
      <c r="BE33" s="75">
        <f>AX33+BC33</f>
        <v>141038</v>
      </c>
      <c r="BF33" s="75"/>
      <c r="BG33" s="79"/>
      <c r="BH33" s="79"/>
      <c r="BI33" s="75">
        <f>BD33+BF33+BG33+BH33</f>
        <v>715581</v>
      </c>
      <c r="BJ33" s="75">
        <f>BE33+BH33</f>
        <v>141038</v>
      </c>
      <c r="BK33" s="75">
        <f>2+2</f>
        <v>4</v>
      </c>
      <c r="BL33" s="78">
        <f>42-42</f>
        <v>0</v>
      </c>
      <c r="BM33" s="75">
        <f>1500+2+29+23</f>
        <v>1554</v>
      </c>
      <c r="BN33" s="78"/>
      <c r="BO33" s="75">
        <f>BI33+BK33+BL33+BM33+BN33</f>
        <v>717139</v>
      </c>
      <c r="BP33" s="75">
        <f>BJ33+BN33</f>
        <v>141038</v>
      </c>
      <c r="BQ33" s="75">
        <f>-1600-688</f>
        <v>-2288</v>
      </c>
      <c r="BR33" s="75"/>
      <c r="BS33" s="78">
        <v>-441</v>
      </c>
      <c r="BT33" s="75"/>
      <c r="BU33" s="75">
        <f>BO33+BQ33+BS33+BT33</f>
        <v>714410</v>
      </c>
      <c r="BV33" s="75">
        <f>BP33+BT33</f>
        <v>141038</v>
      </c>
      <c r="BW33" s="75">
        <v>690278</v>
      </c>
      <c r="BX33" s="75">
        <v>130733</v>
      </c>
      <c r="BY33" s="77">
        <f t="shared" si="25"/>
        <v>96.62210775325093</v>
      </c>
      <c r="BZ33" s="77">
        <f t="shared" si="25"/>
        <v>92.69345850054596</v>
      </c>
    </row>
    <row r="34" spans="1:78" s="14" customFormat="1" ht="14.25" customHeight="1">
      <c r="A34" s="88"/>
      <c r="B34" s="89"/>
      <c r="C34" s="89"/>
      <c r="D34" s="90"/>
      <c r="E34" s="89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79"/>
      <c r="R34" s="79"/>
      <c r="S34" s="75"/>
      <c r="T34" s="75"/>
      <c r="U34" s="79"/>
      <c r="V34" s="79"/>
      <c r="W34" s="79"/>
      <c r="X34" s="79"/>
      <c r="Y34" s="79"/>
      <c r="Z34" s="79"/>
      <c r="AA34" s="79"/>
      <c r="AB34" s="79"/>
      <c r="AC34" s="79"/>
      <c r="AD34" s="80"/>
      <c r="AE34" s="80"/>
      <c r="AF34" s="75"/>
      <c r="AG34" s="80"/>
      <c r="AH34" s="80"/>
      <c r="AI34" s="80"/>
      <c r="AJ34" s="80"/>
      <c r="AK34" s="79"/>
      <c r="AL34" s="79"/>
      <c r="AM34" s="79"/>
      <c r="AN34" s="79"/>
      <c r="AO34" s="79"/>
      <c r="AP34" s="79"/>
      <c r="AQ34" s="79"/>
      <c r="AR34" s="79"/>
      <c r="AS34" s="79"/>
      <c r="AT34" s="81"/>
      <c r="AU34" s="81"/>
      <c r="AV34" s="81"/>
      <c r="AW34" s="81"/>
      <c r="AX34" s="81"/>
      <c r="AY34" s="75"/>
      <c r="AZ34" s="75"/>
      <c r="BA34" s="75"/>
      <c r="BB34" s="75"/>
      <c r="BC34" s="75"/>
      <c r="BD34" s="78"/>
      <c r="BE34" s="78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9"/>
      <c r="BR34" s="79"/>
      <c r="BS34" s="79"/>
      <c r="BT34" s="79"/>
      <c r="BU34" s="79"/>
      <c r="BV34" s="79"/>
      <c r="BW34" s="79"/>
      <c r="BX34" s="79"/>
      <c r="BY34" s="72"/>
      <c r="BZ34" s="72"/>
    </row>
    <row r="35" spans="1:78" s="16" customFormat="1" ht="39" customHeight="1">
      <c r="A35" s="66" t="s">
        <v>21</v>
      </c>
      <c r="B35" s="67" t="s">
        <v>127</v>
      </c>
      <c r="C35" s="67" t="s">
        <v>136</v>
      </c>
      <c r="D35" s="85"/>
      <c r="E35" s="67"/>
      <c r="F35" s="69">
        <f aca="true" t="shared" si="26" ref="F35:U36">F36</f>
        <v>7000</v>
      </c>
      <c r="G35" s="69">
        <f t="shared" si="26"/>
        <v>10777</v>
      </c>
      <c r="H35" s="69">
        <f t="shared" si="26"/>
        <v>17777</v>
      </c>
      <c r="I35" s="69">
        <f t="shared" si="26"/>
        <v>0</v>
      </c>
      <c r="J35" s="69">
        <f t="shared" si="26"/>
        <v>0</v>
      </c>
      <c r="K35" s="69">
        <f t="shared" si="26"/>
        <v>0</v>
      </c>
      <c r="L35" s="69">
        <f t="shared" si="26"/>
        <v>0</v>
      </c>
      <c r="M35" s="69">
        <f t="shared" si="26"/>
        <v>17777</v>
      </c>
      <c r="N35" s="69">
        <f t="shared" si="26"/>
        <v>0</v>
      </c>
      <c r="O35" s="69">
        <f t="shared" si="26"/>
        <v>0</v>
      </c>
      <c r="P35" s="69">
        <f t="shared" si="26"/>
        <v>0</v>
      </c>
      <c r="Q35" s="69">
        <f t="shared" si="26"/>
        <v>0</v>
      </c>
      <c r="R35" s="69">
        <f t="shared" si="26"/>
        <v>0</v>
      </c>
      <c r="S35" s="69">
        <f t="shared" si="26"/>
        <v>17777</v>
      </c>
      <c r="T35" s="69">
        <f t="shared" si="26"/>
        <v>0</v>
      </c>
      <c r="U35" s="69">
        <f t="shared" si="26"/>
        <v>0</v>
      </c>
      <c r="V35" s="69">
        <f aca="true" t="shared" si="27" ref="T35:AJ36">V36</f>
        <v>0</v>
      </c>
      <c r="W35" s="69">
        <f t="shared" si="27"/>
        <v>0</v>
      </c>
      <c r="X35" s="69">
        <f t="shared" si="27"/>
        <v>0</v>
      </c>
      <c r="Y35" s="69">
        <f t="shared" si="27"/>
        <v>0</v>
      </c>
      <c r="Z35" s="69">
        <f t="shared" si="27"/>
        <v>0</v>
      </c>
      <c r="AA35" s="69">
        <f t="shared" si="27"/>
        <v>0</v>
      </c>
      <c r="AB35" s="69">
        <f t="shared" si="27"/>
        <v>17777</v>
      </c>
      <c r="AC35" s="69">
        <f t="shared" si="27"/>
        <v>0</v>
      </c>
      <c r="AD35" s="69">
        <f t="shared" si="27"/>
        <v>0</v>
      </c>
      <c r="AE35" s="69">
        <f t="shared" si="27"/>
        <v>0</v>
      </c>
      <c r="AF35" s="69">
        <f t="shared" si="27"/>
        <v>-5063</v>
      </c>
      <c r="AG35" s="69">
        <f t="shared" si="27"/>
        <v>0</v>
      </c>
      <c r="AH35" s="69">
        <f t="shared" si="27"/>
        <v>0</v>
      </c>
      <c r="AI35" s="69">
        <f t="shared" si="27"/>
        <v>12714</v>
      </c>
      <c r="AJ35" s="69">
        <f t="shared" si="27"/>
        <v>0</v>
      </c>
      <c r="AK35" s="69">
        <f aca="true" t="shared" si="28" ref="AK35:BB36">AK36</f>
        <v>0</v>
      </c>
      <c r="AL35" s="69">
        <f t="shared" si="28"/>
        <v>12714</v>
      </c>
      <c r="AM35" s="69">
        <f t="shared" si="28"/>
        <v>0</v>
      </c>
      <c r="AN35" s="69">
        <f t="shared" si="28"/>
        <v>0</v>
      </c>
      <c r="AO35" s="69">
        <f t="shared" si="28"/>
        <v>0</v>
      </c>
      <c r="AP35" s="69">
        <f t="shared" si="28"/>
        <v>0</v>
      </c>
      <c r="AQ35" s="69">
        <f t="shared" si="28"/>
        <v>0</v>
      </c>
      <c r="AR35" s="69">
        <f t="shared" si="28"/>
        <v>12714</v>
      </c>
      <c r="AS35" s="69">
        <f t="shared" si="28"/>
        <v>0</v>
      </c>
      <c r="AT35" s="70">
        <f t="shared" si="28"/>
        <v>0</v>
      </c>
      <c r="AU35" s="70">
        <f t="shared" si="28"/>
        <v>-491</v>
      </c>
      <c r="AV35" s="70">
        <f t="shared" si="28"/>
        <v>0</v>
      </c>
      <c r="AW35" s="70">
        <f t="shared" si="28"/>
        <v>12223</v>
      </c>
      <c r="AX35" s="70">
        <f t="shared" si="28"/>
        <v>0</v>
      </c>
      <c r="AY35" s="69">
        <f t="shared" si="28"/>
        <v>0</v>
      </c>
      <c r="AZ35" s="69">
        <f t="shared" si="28"/>
        <v>0</v>
      </c>
      <c r="BA35" s="69">
        <f t="shared" si="28"/>
        <v>320</v>
      </c>
      <c r="BB35" s="69">
        <f t="shared" si="28"/>
        <v>0</v>
      </c>
      <c r="BC35" s="69">
        <f aca="true" t="shared" si="29" ref="AX35:BM36">BC36</f>
        <v>0</v>
      </c>
      <c r="BD35" s="69">
        <f t="shared" si="29"/>
        <v>12543</v>
      </c>
      <c r="BE35" s="69">
        <f t="shared" si="29"/>
        <v>0</v>
      </c>
      <c r="BF35" s="69">
        <f t="shared" si="29"/>
        <v>0</v>
      </c>
      <c r="BG35" s="69">
        <f t="shared" si="29"/>
        <v>0</v>
      </c>
      <c r="BH35" s="69">
        <f t="shared" si="29"/>
        <v>0</v>
      </c>
      <c r="BI35" s="69">
        <f t="shared" si="29"/>
        <v>12543</v>
      </c>
      <c r="BJ35" s="69">
        <f t="shared" si="29"/>
        <v>0</v>
      </c>
      <c r="BK35" s="69">
        <f t="shared" si="29"/>
        <v>0</v>
      </c>
      <c r="BL35" s="69">
        <f t="shared" si="29"/>
        <v>0</v>
      </c>
      <c r="BM35" s="69">
        <f t="shared" si="29"/>
        <v>0</v>
      </c>
      <c r="BN35" s="69">
        <f aca="true" t="shared" si="30" ref="BJ35:BX36">BN36</f>
        <v>0</v>
      </c>
      <c r="BO35" s="69">
        <f t="shared" si="30"/>
        <v>12543</v>
      </c>
      <c r="BP35" s="69">
        <f t="shared" si="30"/>
        <v>0</v>
      </c>
      <c r="BQ35" s="69">
        <f t="shared" si="30"/>
        <v>0</v>
      </c>
      <c r="BR35" s="69"/>
      <c r="BS35" s="69">
        <f t="shared" si="30"/>
        <v>0</v>
      </c>
      <c r="BT35" s="69">
        <f t="shared" si="30"/>
        <v>0</v>
      </c>
      <c r="BU35" s="69">
        <f t="shared" si="30"/>
        <v>12543</v>
      </c>
      <c r="BV35" s="69">
        <f t="shared" si="30"/>
        <v>0</v>
      </c>
      <c r="BW35" s="69">
        <f t="shared" si="30"/>
        <v>12446</v>
      </c>
      <c r="BX35" s="69">
        <f t="shared" si="30"/>
        <v>0</v>
      </c>
      <c r="BY35" s="71">
        <f>BW35/BU35*100</f>
        <v>99.22666028860719</v>
      </c>
      <c r="BZ35" s="72"/>
    </row>
    <row r="36" spans="1:78" s="16" customFormat="1" ht="25.5" customHeight="1" hidden="1">
      <c r="A36" s="88" t="s">
        <v>137</v>
      </c>
      <c r="B36" s="89" t="s">
        <v>127</v>
      </c>
      <c r="C36" s="89" t="s">
        <v>136</v>
      </c>
      <c r="D36" s="90" t="s">
        <v>200</v>
      </c>
      <c r="E36" s="89"/>
      <c r="F36" s="75">
        <f t="shared" si="26"/>
        <v>7000</v>
      </c>
      <c r="G36" s="75">
        <f t="shared" si="26"/>
        <v>10777</v>
      </c>
      <c r="H36" s="75">
        <f t="shared" si="26"/>
        <v>17777</v>
      </c>
      <c r="I36" s="75">
        <f t="shared" si="26"/>
        <v>0</v>
      </c>
      <c r="J36" s="75">
        <f t="shared" si="26"/>
        <v>0</v>
      </c>
      <c r="K36" s="75">
        <f t="shared" si="26"/>
        <v>0</v>
      </c>
      <c r="L36" s="75">
        <f t="shared" si="26"/>
        <v>0</v>
      </c>
      <c r="M36" s="75">
        <f t="shared" si="26"/>
        <v>17777</v>
      </c>
      <c r="N36" s="75">
        <f t="shared" si="26"/>
        <v>0</v>
      </c>
      <c r="O36" s="75">
        <f t="shared" si="26"/>
        <v>0</v>
      </c>
      <c r="P36" s="75">
        <f t="shared" si="26"/>
        <v>0</v>
      </c>
      <c r="Q36" s="75">
        <f t="shared" si="26"/>
        <v>0</v>
      </c>
      <c r="R36" s="75">
        <f t="shared" si="26"/>
        <v>0</v>
      </c>
      <c r="S36" s="75">
        <f t="shared" si="26"/>
        <v>17777</v>
      </c>
      <c r="T36" s="75">
        <f t="shared" si="27"/>
        <v>0</v>
      </c>
      <c r="U36" s="75">
        <f t="shared" si="27"/>
        <v>0</v>
      </c>
      <c r="V36" s="75">
        <f t="shared" si="27"/>
        <v>0</v>
      </c>
      <c r="W36" s="75">
        <f t="shared" si="27"/>
        <v>0</v>
      </c>
      <c r="X36" s="75">
        <f t="shared" si="27"/>
        <v>0</v>
      </c>
      <c r="Y36" s="75">
        <f t="shared" si="27"/>
        <v>0</v>
      </c>
      <c r="Z36" s="75">
        <f t="shared" si="27"/>
        <v>0</v>
      </c>
      <c r="AA36" s="75">
        <f t="shared" si="27"/>
        <v>0</v>
      </c>
      <c r="AB36" s="75">
        <f t="shared" si="27"/>
        <v>17777</v>
      </c>
      <c r="AC36" s="75">
        <f aca="true" t="shared" si="31" ref="AC36:AJ36">AC37</f>
        <v>0</v>
      </c>
      <c r="AD36" s="75">
        <f t="shared" si="31"/>
        <v>0</v>
      </c>
      <c r="AE36" s="75">
        <f t="shared" si="31"/>
        <v>0</v>
      </c>
      <c r="AF36" s="75">
        <f t="shared" si="31"/>
        <v>-5063</v>
      </c>
      <c r="AG36" s="75">
        <f t="shared" si="31"/>
        <v>0</v>
      </c>
      <c r="AH36" s="75">
        <f t="shared" si="31"/>
        <v>0</v>
      </c>
      <c r="AI36" s="75">
        <f t="shared" si="31"/>
        <v>12714</v>
      </c>
      <c r="AJ36" s="75">
        <f t="shared" si="31"/>
        <v>0</v>
      </c>
      <c r="AK36" s="75">
        <f t="shared" si="28"/>
        <v>0</v>
      </c>
      <c r="AL36" s="75">
        <f t="shared" si="28"/>
        <v>12714</v>
      </c>
      <c r="AM36" s="75">
        <f t="shared" si="28"/>
        <v>0</v>
      </c>
      <c r="AN36" s="75">
        <f t="shared" si="28"/>
        <v>0</v>
      </c>
      <c r="AO36" s="75">
        <f t="shared" si="28"/>
        <v>0</v>
      </c>
      <c r="AP36" s="75">
        <f t="shared" si="28"/>
        <v>0</v>
      </c>
      <c r="AQ36" s="75">
        <f t="shared" si="28"/>
        <v>0</v>
      </c>
      <c r="AR36" s="75">
        <f t="shared" si="28"/>
        <v>12714</v>
      </c>
      <c r="AS36" s="75">
        <f t="shared" si="28"/>
        <v>0</v>
      </c>
      <c r="AT36" s="76">
        <f t="shared" si="28"/>
        <v>0</v>
      </c>
      <c r="AU36" s="76">
        <f t="shared" si="28"/>
        <v>-491</v>
      </c>
      <c r="AV36" s="76">
        <f t="shared" si="28"/>
        <v>0</v>
      </c>
      <c r="AW36" s="76">
        <f t="shared" si="28"/>
        <v>12223</v>
      </c>
      <c r="AX36" s="76">
        <f t="shared" si="29"/>
        <v>0</v>
      </c>
      <c r="AY36" s="75">
        <f t="shared" si="29"/>
        <v>0</v>
      </c>
      <c r="AZ36" s="75">
        <f t="shared" si="29"/>
        <v>0</v>
      </c>
      <c r="BA36" s="75">
        <f t="shared" si="29"/>
        <v>320</v>
      </c>
      <c r="BB36" s="75">
        <f t="shared" si="29"/>
        <v>0</v>
      </c>
      <c r="BC36" s="75">
        <f t="shared" si="29"/>
        <v>0</v>
      </c>
      <c r="BD36" s="75">
        <f t="shared" si="29"/>
        <v>12543</v>
      </c>
      <c r="BE36" s="75">
        <f t="shared" si="29"/>
        <v>0</v>
      </c>
      <c r="BF36" s="75">
        <f t="shared" si="29"/>
        <v>0</v>
      </c>
      <c r="BG36" s="75">
        <f t="shared" si="29"/>
        <v>0</v>
      </c>
      <c r="BH36" s="75">
        <f t="shared" si="29"/>
        <v>0</v>
      </c>
      <c r="BI36" s="75">
        <f t="shared" si="29"/>
        <v>12543</v>
      </c>
      <c r="BJ36" s="75">
        <f t="shared" si="30"/>
        <v>0</v>
      </c>
      <c r="BK36" s="75">
        <f t="shared" si="30"/>
        <v>0</v>
      </c>
      <c r="BL36" s="75">
        <f t="shared" si="30"/>
        <v>0</v>
      </c>
      <c r="BM36" s="75">
        <f t="shared" si="30"/>
        <v>0</v>
      </c>
      <c r="BN36" s="75">
        <f t="shared" si="30"/>
        <v>0</v>
      </c>
      <c r="BO36" s="75">
        <f t="shared" si="30"/>
        <v>12543</v>
      </c>
      <c r="BP36" s="75">
        <f t="shared" si="30"/>
        <v>0</v>
      </c>
      <c r="BQ36" s="75">
        <f t="shared" si="30"/>
        <v>0</v>
      </c>
      <c r="BR36" s="75"/>
      <c r="BS36" s="75">
        <f t="shared" si="30"/>
        <v>0</v>
      </c>
      <c r="BT36" s="75">
        <f t="shared" si="30"/>
        <v>0</v>
      </c>
      <c r="BU36" s="75">
        <f t="shared" si="30"/>
        <v>12543</v>
      </c>
      <c r="BV36" s="75">
        <f t="shared" si="30"/>
        <v>0</v>
      </c>
      <c r="BW36" s="75">
        <f t="shared" si="30"/>
        <v>12446</v>
      </c>
      <c r="BX36" s="75">
        <f t="shared" si="30"/>
        <v>0</v>
      </c>
      <c r="BY36" s="77">
        <f>BW36/BU36*100</f>
        <v>99.22666028860719</v>
      </c>
      <c r="BZ36" s="72"/>
    </row>
    <row r="37" spans="1:78" s="17" customFormat="1" ht="77.25" customHeight="1" hidden="1">
      <c r="A37" s="88" t="s">
        <v>138</v>
      </c>
      <c r="B37" s="89" t="s">
        <v>127</v>
      </c>
      <c r="C37" s="89" t="s">
        <v>136</v>
      </c>
      <c r="D37" s="90" t="s">
        <v>200</v>
      </c>
      <c r="E37" s="89" t="s">
        <v>139</v>
      </c>
      <c r="F37" s="75">
        <v>7000</v>
      </c>
      <c r="G37" s="75">
        <f>H37-F37</f>
        <v>10777</v>
      </c>
      <c r="H37" s="75">
        <f>2296-99+15684-104</f>
        <v>17777</v>
      </c>
      <c r="I37" s="94"/>
      <c r="J37" s="94"/>
      <c r="K37" s="94"/>
      <c r="L37" s="94"/>
      <c r="M37" s="75">
        <f>H37+J37+K37+L37</f>
        <v>17777</v>
      </c>
      <c r="N37" s="78">
        <f>I37+L37</f>
        <v>0</v>
      </c>
      <c r="O37" s="94"/>
      <c r="P37" s="94"/>
      <c r="Q37" s="94"/>
      <c r="R37" s="94"/>
      <c r="S37" s="75">
        <f>M37+O37+P37+Q37+R37</f>
        <v>17777</v>
      </c>
      <c r="T37" s="75">
        <f>N37+R37</f>
        <v>0</v>
      </c>
      <c r="U37" s="94"/>
      <c r="V37" s="94"/>
      <c r="W37" s="94"/>
      <c r="X37" s="75"/>
      <c r="Y37" s="94"/>
      <c r="Z37" s="94"/>
      <c r="AA37" s="94"/>
      <c r="AB37" s="75">
        <f>S37+U37+V37+W37+X37+Y37+Z37+AA37</f>
        <v>17777</v>
      </c>
      <c r="AC37" s="80">
        <f>T37+Z37+AA37</f>
        <v>0</v>
      </c>
      <c r="AD37" s="95"/>
      <c r="AE37" s="95"/>
      <c r="AF37" s="75">
        <v>-5063</v>
      </c>
      <c r="AG37" s="95"/>
      <c r="AH37" s="95"/>
      <c r="AI37" s="75">
        <f>AB37+AD37+AE37+AF37+AG37+AH37</f>
        <v>12714</v>
      </c>
      <c r="AJ37" s="75">
        <f>AC37+AH37</f>
        <v>0</v>
      </c>
      <c r="AK37" s="94"/>
      <c r="AL37" s="75">
        <f>AI37+AK37</f>
        <v>12714</v>
      </c>
      <c r="AM37" s="75">
        <f>AJ37</f>
        <v>0</v>
      </c>
      <c r="AN37" s="94"/>
      <c r="AO37" s="94"/>
      <c r="AP37" s="94"/>
      <c r="AQ37" s="94"/>
      <c r="AR37" s="75">
        <f>AL37+AN37+AO37+AP37+AQ37</f>
        <v>12714</v>
      </c>
      <c r="AS37" s="75">
        <f>AM37+AQ37</f>
        <v>0</v>
      </c>
      <c r="AT37" s="81"/>
      <c r="AU37" s="81">
        <f>-507+16</f>
        <v>-491</v>
      </c>
      <c r="AV37" s="81"/>
      <c r="AW37" s="76">
        <f>AV37+AU37+AT37+AR37</f>
        <v>12223</v>
      </c>
      <c r="AX37" s="76">
        <f>AV37+AS37</f>
        <v>0</v>
      </c>
      <c r="AY37" s="96"/>
      <c r="AZ37" s="96"/>
      <c r="BA37" s="75">
        <v>320</v>
      </c>
      <c r="BB37" s="75"/>
      <c r="BC37" s="96"/>
      <c r="BD37" s="75">
        <f>AW37+AY37+AZ37+BA37+BB37+BC37</f>
        <v>12543</v>
      </c>
      <c r="BE37" s="75">
        <f>AX37+BC37</f>
        <v>0</v>
      </c>
      <c r="BF37" s="94"/>
      <c r="BG37" s="94"/>
      <c r="BH37" s="94"/>
      <c r="BI37" s="75">
        <f>BD37+BF37+BG37+BH37</f>
        <v>12543</v>
      </c>
      <c r="BJ37" s="75">
        <f>BE37+BH37</f>
        <v>0</v>
      </c>
      <c r="BK37" s="98"/>
      <c r="BL37" s="98"/>
      <c r="BM37" s="98"/>
      <c r="BN37" s="98"/>
      <c r="BO37" s="75">
        <f>BI37+BK37+BL37+BM37+BN37</f>
        <v>12543</v>
      </c>
      <c r="BP37" s="75">
        <f>BJ37+BN37</f>
        <v>0</v>
      </c>
      <c r="BQ37" s="94"/>
      <c r="BR37" s="94"/>
      <c r="BS37" s="94"/>
      <c r="BT37" s="94"/>
      <c r="BU37" s="75">
        <f>BO37+BQ37+BS37+BT37</f>
        <v>12543</v>
      </c>
      <c r="BV37" s="75">
        <f>BP37+BT37</f>
        <v>0</v>
      </c>
      <c r="BW37" s="75">
        <f>12446</f>
        <v>12446</v>
      </c>
      <c r="BX37" s="75">
        <f>BR37+BV37</f>
        <v>0</v>
      </c>
      <c r="BY37" s="77">
        <f>BW37/BU37*100</f>
        <v>99.22666028860719</v>
      </c>
      <c r="BZ37" s="72"/>
    </row>
    <row r="38" spans="1:78" s="16" customFormat="1" ht="13.5" customHeight="1">
      <c r="A38" s="101"/>
      <c r="B38" s="102"/>
      <c r="C38" s="102"/>
      <c r="D38" s="103"/>
      <c r="E38" s="89"/>
      <c r="F38" s="95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6"/>
      <c r="T38" s="96"/>
      <c r="U38" s="94"/>
      <c r="V38" s="94"/>
      <c r="W38" s="94"/>
      <c r="X38" s="94"/>
      <c r="Y38" s="94"/>
      <c r="Z38" s="94"/>
      <c r="AA38" s="94"/>
      <c r="AB38" s="94"/>
      <c r="AC38" s="94"/>
      <c r="AD38" s="95"/>
      <c r="AE38" s="95"/>
      <c r="AF38" s="96"/>
      <c r="AG38" s="95"/>
      <c r="AH38" s="95"/>
      <c r="AI38" s="95"/>
      <c r="AJ38" s="95"/>
      <c r="AK38" s="94"/>
      <c r="AL38" s="94"/>
      <c r="AM38" s="94"/>
      <c r="AN38" s="94"/>
      <c r="AO38" s="94"/>
      <c r="AP38" s="94"/>
      <c r="AQ38" s="94"/>
      <c r="AR38" s="94"/>
      <c r="AS38" s="94"/>
      <c r="AT38" s="97"/>
      <c r="AU38" s="97"/>
      <c r="AV38" s="97"/>
      <c r="AW38" s="97"/>
      <c r="AX38" s="97"/>
      <c r="AY38" s="96"/>
      <c r="AZ38" s="96"/>
      <c r="BA38" s="96"/>
      <c r="BB38" s="96"/>
      <c r="BC38" s="96"/>
      <c r="BD38" s="98"/>
      <c r="BE38" s="98"/>
      <c r="BF38" s="94"/>
      <c r="BG38" s="94"/>
      <c r="BH38" s="94"/>
      <c r="BI38" s="94"/>
      <c r="BJ38" s="94"/>
      <c r="BK38" s="98"/>
      <c r="BL38" s="98"/>
      <c r="BM38" s="98"/>
      <c r="BN38" s="98"/>
      <c r="BO38" s="98"/>
      <c r="BP38" s="98"/>
      <c r="BQ38" s="94"/>
      <c r="BR38" s="94"/>
      <c r="BS38" s="94"/>
      <c r="BT38" s="94"/>
      <c r="BU38" s="94"/>
      <c r="BV38" s="94"/>
      <c r="BW38" s="94"/>
      <c r="BX38" s="94"/>
      <c r="BY38" s="72"/>
      <c r="BZ38" s="72"/>
    </row>
    <row r="39" spans="1:78" ht="37.5">
      <c r="A39" s="66" t="s">
        <v>22</v>
      </c>
      <c r="B39" s="67" t="s">
        <v>127</v>
      </c>
      <c r="C39" s="67" t="s">
        <v>140</v>
      </c>
      <c r="D39" s="85"/>
      <c r="E39" s="67"/>
      <c r="F39" s="69">
        <f aca="true" t="shared" si="32" ref="F39:U40">F40</f>
        <v>113191</v>
      </c>
      <c r="G39" s="69">
        <f t="shared" si="32"/>
        <v>-48287</v>
      </c>
      <c r="H39" s="69">
        <f t="shared" si="32"/>
        <v>64904</v>
      </c>
      <c r="I39" s="69">
        <f t="shared" si="32"/>
        <v>0</v>
      </c>
      <c r="J39" s="69">
        <f t="shared" si="32"/>
        <v>0</v>
      </c>
      <c r="K39" s="69">
        <f t="shared" si="32"/>
        <v>0</v>
      </c>
      <c r="L39" s="69">
        <f t="shared" si="32"/>
        <v>0</v>
      </c>
      <c r="M39" s="69">
        <f t="shared" si="32"/>
        <v>64904</v>
      </c>
      <c r="N39" s="69">
        <f t="shared" si="32"/>
        <v>0</v>
      </c>
      <c r="O39" s="69">
        <f t="shared" si="32"/>
        <v>0</v>
      </c>
      <c r="P39" s="69">
        <f t="shared" si="32"/>
        <v>0</v>
      </c>
      <c r="Q39" s="69">
        <f t="shared" si="32"/>
        <v>0</v>
      </c>
      <c r="R39" s="69">
        <f t="shared" si="32"/>
        <v>0</v>
      </c>
      <c r="S39" s="69">
        <f t="shared" si="32"/>
        <v>64904</v>
      </c>
      <c r="T39" s="69">
        <f t="shared" si="32"/>
        <v>0</v>
      </c>
      <c r="U39" s="69">
        <f t="shared" si="32"/>
        <v>0</v>
      </c>
      <c r="V39" s="69">
        <f aca="true" t="shared" si="33" ref="T39:AJ40">V40</f>
        <v>0</v>
      </c>
      <c r="W39" s="69">
        <f t="shared" si="33"/>
        <v>0</v>
      </c>
      <c r="X39" s="69">
        <f t="shared" si="33"/>
        <v>0</v>
      </c>
      <c r="Y39" s="69">
        <f t="shared" si="33"/>
        <v>0</v>
      </c>
      <c r="Z39" s="69">
        <f t="shared" si="33"/>
        <v>0</v>
      </c>
      <c r="AA39" s="69">
        <f t="shared" si="33"/>
        <v>0</v>
      </c>
      <c r="AB39" s="69">
        <f t="shared" si="33"/>
        <v>64904</v>
      </c>
      <c r="AC39" s="69">
        <f t="shared" si="33"/>
        <v>0</v>
      </c>
      <c r="AD39" s="69">
        <f t="shared" si="33"/>
        <v>0</v>
      </c>
      <c r="AE39" s="69">
        <f t="shared" si="33"/>
        <v>0</v>
      </c>
      <c r="AF39" s="69">
        <f t="shared" si="33"/>
        <v>-5000</v>
      </c>
      <c r="AG39" s="69">
        <f t="shared" si="33"/>
        <v>0</v>
      </c>
      <c r="AH39" s="69">
        <f t="shared" si="33"/>
        <v>0</v>
      </c>
      <c r="AI39" s="69">
        <f t="shared" si="33"/>
        <v>59904</v>
      </c>
      <c r="AJ39" s="69">
        <f t="shared" si="33"/>
        <v>0</v>
      </c>
      <c r="AK39" s="69">
        <f>AK40</f>
        <v>0</v>
      </c>
      <c r="AL39" s="69">
        <f>AL40</f>
        <v>59904</v>
      </c>
      <c r="AM39" s="69">
        <f aca="true" t="shared" si="34" ref="AM39:BX39">AM40</f>
        <v>0</v>
      </c>
      <c r="AN39" s="69">
        <f t="shared" si="34"/>
        <v>0</v>
      </c>
      <c r="AO39" s="69">
        <f t="shared" si="34"/>
        <v>0</v>
      </c>
      <c r="AP39" s="69">
        <f t="shared" si="34"/>
        <v>0</v>
      </c>
      <c r="AQ39" s="69">
        <f t="shared" si="34"/>
        <v>0</v>
      </c>
      <c r="AR39" s="69">
        <f t="shared" si="34"/>
        <v>59904</v>
      </c>
      <c r="AS39" s="69">
        <f t="shared" si="34"/>
        <v>0</v>
      </c>
      <c r="AT39" s="70">
        <f t="shared" si="34"/>
        <v>0</v>
      </c>
      <c r="AU39" s="70">
        <f t="shared" si="34"/>
        <v>0</v>
      </c>
      <c r="AV39" s="70">
        <f t="shared" si="34"/>
        <v>0</v>
      </c>
      <c r="AW39" s="70">
        <f t="shared" si="34"/>
        <v>59904</v>
      </c>
      <c r="AX39" s="70">
        <f t="shared" si="34"/>
        <v>0</v>
      </c>
      <c r="AY39" s="69">
        <f t="shared" si="34"/>
        <v>0</v>
      </c>
      <c r="AZ39" s="69">
        <f t="shared" si="34"/>
        <v>0</v>
      </c>
      <c r="BA39" s="69">
        <f t="shared" si="34"/>
        <v>0</v>
      </c>
      <c r="BB39" s="69">
        <f t="shared" si="34"/>
        <v>0</v>
      </c>
      <c r="BC39" s="69">
        <f t="shared" si="34"/>
        <v>0</v>
      </c>
      <c r="BD39" s="69">
        <f t="shared" si="34"/>
        <v>59904</v>
      </c>
      <c r="BE39" s="69">
        <f t="shared" si="34"/>
        <v>0</v>
      </c>
      <c r="BF39" s="69">
        <f t="shared" si="34"/>
        <v>0</v>
      </c>
      <c r="BG39" s="69">
        <f t="shared" si="34"/>
        <v>0</v>
      </c>
      <c r="BH39" s="69">
        <f t="shared" si="34"/>
        <v>0</v>
      </c>
      <c r="BI39" s="69">
        <f t="shared" si="34"/>
        <v>59904</v>
      </c>
      <c r="BJ39" s="69">
        <f t="shared" si="34"/>
        <v>0</v>
      </c>
      <c r="BK39" s="69">
        <f t="shared" si="34"/>
        <v>0</v>
      </c>
      <c r="BL39" s="69">
        <f t="shared" si="34"/>
        <v>0</v>
      </c>
      <c r="BM39" s="69">
        <f t="shared" si="34"/>
        <v>-22904</v>
      </c>
      <c r="BN39" s="69">
        <f t="shared" si="34"/>
        <v>0</v>
      </c>
      <c r="BO39" s="69">
        <f t="shared" si="34"/>
        <v>37000</v>
      </c>
      <c r="BP39" s="69">
        <f t="shared" si="34"/>
        <v>0</v>
      </c>
      <c r="BQ39" s="69">
        <f t="shared" si="34"/>
        <v>0</v>
      </c>
      <c r="BR39" s="69"/>
      <c r="BS39" s="69">
        <f t="shared" si="34"/>
        <v>-1056</v>
      </c>
      <c r="BT39" s="69">
        <f t="shared" si="34"/>
        <v>0</v>
      </c>
      <c r="BU39" s="69">
        <f t="shared" si="34"/>
        <v>35944</v>
      </c>
      <c r="BV39" s="69">
        <f t="shared" si="34"/>
        <v>0</v>
      </c>
      <c r="BW39" s="69">
        <f t="shared" si="34"/>
        <v>24862</v>
      </c>
      <c r="BX39" s="69">
        <f t="shared" si="34"/>
        <v>0</v>
      </c>
      <c r="BY39" s="71">
        <f>BW39/BU39*100</f>
        <v>69.1687068773648</v>
      </c>
      <c r="BZ39" s="72"/>
    </row>
    <row r="40" spans="1:78" s="18" customFormat="1" ht="33.75" hidden="1">
      <c r="A40" s="88" t="s">
        <v>23</v>
      </c>
      <c r="B40" s="89" t="s">
        <v>127</v>
      </c>
      <c r="C40" s="89" t="s">
        <v>140</v>
      </c>
      <c r="D40" s="90" t="s">
        <v>24</v>
      </c>
      <c r="E40" s="89"/>
      <c r="F40" s="75">
        <f t="shared" si="32"/>
        <v>113191</v>
      </c>
      <c r="G40" s="75">
        <f t="shared" si="32"/>
        <v>-48287</v>
      </c>
      <c r="H40" s="75">
        <f t="shared" si="32"/>
        <v>64904</v>
      </c>
      <c r="I40" s="75">
        <f t="shared" si="32"/>
        <v>0</v>
      </c>
      <c r="J40" s="75">
        <f t="shared" si="32"/>
        <v>0</v>
      </c>
      <c r="K40" s="75">
        <f t="shared" si="32"/>
        <v>0</v>
      </c>
      <c r="L40" s="75">
        <f t="shared" si="32"/>
        <v>0</v>
      </c>
      <c r="M40" s="75">
        <f t="shared" si="32"/>
        <v>64904</v>
      </c>
      <c r="N40" s="75">
        <f t="shared" si="32"/>
        <v>0</v>
      </c>
      <c r="O40" s="75">
        <f t="shared" si="32"/>
        <v>0</v>
      </c>
      <c r="P40" s="75">
        <f t="shared" si="32"/>
        <v>0</v>
      </c>
      <c r="Q40" s="75">
        <f t="shared" si="32"/>
        <v>0</v>
      </c>
      <c r="R40" s="75">
        <f t="shared" si="32"/>
        <v>0</v>
      </c>
      <c r="S40" s="75">
        <f t="shared" si="32"/>
        <v>64904</v>
      </c>
      <c r="T40" s="75">
        <f t="shared" si="33"/>
        <v>0</v>
      </c>
      <c r="U40" s="75">
        <f t="shared" si="33"/>
        <v>0</v>
      </c>
      <c r="V40" s="75">
        <f t="shared" si="33"/>
        <v>0</v>
      </c>
      <c r="W40" s="75">
        <f t="shared" si="33"/>
        <v>0</v>
      </c>
      <c r="X40" s="75">
        <f t="shared" si="33"/>
        <v>0</v>
      </c>
      <c r="Y40" s="75">
        <f t="shared" si="33"/>
        <v>0</v>
      </c>
      <c r="Z40" s="75">
        <f t="shared" si="33"/>
        <v>0</v>
      </c>
      <c r="AA40" s="75">
        <f t="shared" si="33"/>
        <v>0</v>
      </c>
      <c r="AB40" s="75">
        <f t="shared" si="33"/>
        <v>64904</v>
      </c>
      <c r="AC40" s="75">
        <f aca="true" t="shared" si="35" ref="AC40:BX40">AC41</f>
        <v>0</v>
      </c>
      <c r="AD40" s="75">
        <f t="shared" si="35"/>
        <v>0</v>
      </c>
      <c r="AE40" s="75">
        <f t="shared" si="35"/>
        <v>0</v>
      </c>
      <c r="AF40" s="75">
        <f t="shared" si="35"/>
        <v>-5000</v>
      </c>
      <c r="AG40" s="75">
        <f t="shared" si="35"/>
        <v>0</v>
      </c>
      <c r="AH40" s="75">
        <f t="shared" si="35"/>
        <v>0</v>
      </c>
      <c r="AI40" s="75">
        <f t="shared" si="35"/>
        <v>59904</v>
      </c>
      <c r="AJ40" s="75">
        <f t="shared" si="35"/>
        <v>0</v>
      </c>
      <c r="AK40" s="75">
        <f t="shared" si="35"/>
        <v>0</v>
      </c>
      <c r="AL40" s="75">
        <f t="shared" si="35"/>
        <v>59904</v>
      </c>
      <c r="AM40" s="75">
        <f t="shared" si="35"/>
        <v>0</v>
      </c>
      <c r="AN40" s="75">
        <f t="shared" si="35"/>
        <v>0</v>
      </c>
      <c r="AO40" s="75">
        <f t="shared" si="35"/>
        <v>0</v>
      </c>
      <c r="AP40" s="75">
        <f t="shared" si="35"/>
        <v>0</v>
      </c>
      <c r="AQ40" s="75">
        <f t="shared" si="35"/>
        <v>0</v>
      </c>
      <c r="AR40" s="75">
        <f t="shared" si="35"/>
        <v>59904</v>
      </c>
      <c r="AS40" s="75">
        <f t="shared" si="35"/>
        <v>0</v>
      </c>
      <c r="AT40" s="76">
        <f t="shared" si="35"/>
        <v>0</v>
      </c>
      <c r="AU40" s="76">
        <f t="shared" si="35"/>
        <v>0</v>
      </c>
      <c r="AV40" s="76">
        <f t="shared" si="35"/>
        <v>0</v>
      </c>
      <c r="AW40" s="76">
        <f t="shared" si="35"/>
        <v>59904</v>
      </c>
      <c r="AX40" s="76">
        <f t="shared" si="35"/>
        <v>0</v>
      </c>
      <c r="AY40" s="75">
        <f t="shared" si="35"/>
        <v>0</v>
      </c>
      <c r="AZ40" s="75">
        <f t="shared" si="35"/>
        <v>0</v>
      </c>
      <c r="BA40" s="75">
        <f t="shared" si="35"/>
        <v>0</v>
      </c>
      <c r="BB40" s="75">
        <f t="shared" si="35"/>
        <v>0</v>
      </c>
      <c r="BC40" s="75">
        <f t="shared" si="35"/>
        <v>0</v>
      </c>
      <c r="BD40" s="75">
        <f t="shared" si="35"/>
        <v>59904</v>
      </c>
      <c r="BE40" s="75">
        <f t="shared" si="35"/>
        <v>0</v>
      </c>
      <c r="BF40" s="75">
        <f t="shared" si="35"/>
        <v>0</v>
      </c>
      <c r="BG40" s="75">
        <f t="shared" si="35"/>
        <v>0</v>
      </c>
      <c r="BH40" s="75">
        <f t="shared" si="35"/>
        <v>0</v>
      </c>
      <c r="BI40" s="75">
        <f t="shared" si="35"/>
        <v>59904</v>
      </c>
      <c r="BJ40" s="75">
        <f t="shared" si="35"/>
        <v>0</v>
      </c>
      <c r="BK40" s="75">
        <f t="shared" si="35"/>
        <v>0</v>
      </c>
      <c r="BL40" s="75">
        <f t="shared" si="35"/>
        <v>0</v>
      </c>
      <c r="BM40" s="75">
        <f t="shared" si="35"/>
        <v>-22904</v>
      </c>
      <c r="BN40" s="75">
        <f t="shared" si="35"/>
        <v>0</v>
      </c>
      <c r="BO40" s="75">
        <f t="shared" si="35"/>
        <v>37000</v>
      </c>
      <c r="BP40" s="75">
        <f t="shared" si="35"/>
        <v>0</v>
      </c>
      <c r="BQ40" s="75">
        <f t="shared" si="35"/>
        <v>0</v>
      </c>
      <c r="BR40" s="75"/>
      <c r="BS40" s="75">
        <f t="shared" si="35"/>
        <v>-1056</v>
      </c>
      <c r="BT40" s="75">
        <f t="shared" si="35"/>
        <v>0</v>
      </c>
      <c r="BU40" s="75">
        <f t="shared" si="35"/>
        <v>35944</v>
      </c>
      <c r="BV40" s="75">
        <f t="shared" si="35"/>
        <v>0</v>
      </c>
      <c r="BW40" s="75">
        <f t="shared" si="35"/>
        <v>24862</v>
      </c>
      <c r="BX40" s="75">
        <f t="shared" si="35"/>
        <v>0</v>
      </c>
      <c r="BY40" s="77">
        <f>BW40/BU40*100</f>
        <v>69.1687068773648</v>
      </c>
      <c r="BZ40" s="72"/>
    </row>
    <row r="41" spans="1:78" s="13" customFormat="1" ht="24" customHeight="1" hidden="1">
      <c r="A41" s="88" t="s">
        <v>141</v>
      </c>
      <c r="B41" s="89" t="s">
        <v>127</v>
      </c>
      <c r="C41" s="89" t="s">
        <v>140</v>
      </c>
      <c r="D41" s="90" t="s">
        <v>24</v>
      </c>
      <c r="E41" s="89" t="s">
        <v>17</v>
      </c>
      <c r="F41" s="75">
        <v>113191</v>
      </c>
      <c r="G41" s="75">
        <f>H41-F41</f>
        <v>-48287</v>
      </c>
      <c r="H41" s="75">
        <f>94904-30000</f>
        <v>64904</v>
      </c>
      <c r="I41" s="104"/>
      <c r="J41" s="104"/>
      <c r="K41" s="104"/>
      <c r="L41" s="104"/>
      <c r="M41" s="75">
        <f>H41+J41+K41+L41</f>
        <v>64904</v>
      </c>
      <c r="N41" s="78">
        <f>I41+L41</f>
        <v>0</v>
      </c>
      <c r="O41" s="104"/>
      <c r="P41" s="104"/>
      <c r="Q41" s="79"/>
      <c r="R41" s="79"/>
      <c r="S41" s="75">
        <f>M41+O41+P41+Q41+R41</f>
        <v>64904</v>
      </c>
      <c r="T41" s="75">
        <f>N41+R41</f>
        <v>0</v>
      </c>
      <c r="U41" s="79"/>
      <c r="V41" s="79"/>
      <c r="W41" s="79"/>
      <c r="X41" s="75"/>
      <c r="Y41" s="79"/>
      <c r="Z41" s="79"/>
      <c r="AA41" s="79"/>
      <c r="AB41" s="75">
        <f>S41+U41+V41+W41+X41+Y41+Z41+AA41</f>
        <v>64904</v>
      </c>
      <c r="AC41" s="80">
        <f>T41+Z41+AA41</f>
        <v>0</v>
      </c>
      <c r="AD41" s="80"/>
      <c r="AE41" s="80"/>
      <c r="AF41" s="75">
        <v>-5000</v>
      </c>
      <c r="AG41" s="80"/>
      <c r="AH41" s="80"/>
      <c r="AI41" s="75">
        <f>AB41+AD41+AE41+AF41+AG41+AH41</f>
        <v>59904</v>
      </c>
      <c r="AJ41" s="75">
        <f>AC41+AH41</f>
        <v>0</v>
      </c>
      <c r="AK41" s="79"/>
      <c r="AL41" s="75">
        <f>AI41+AK41</f>
        <v>59904</v>
      </c>
      <c r="AM41" s="75">
        <f>AJ41</f>
        <v>0</v>
      </c>
      <c r="AN41" s="79"/>
      <c r="AO41" s="79"/>
      <c r="AP41" s="79"/>
      <c r="AQ41" s="79"/>
      <c r="AR41" s="75">
        <f>AL41+AN41+AO41+AP41+AQ41</f>
        <v>59904</v>
      </c>
      <c r="AS41" s="75">
        <f>AM41+AQ41</f>
        <v>0</v>
      </c>
      <c r="AT41" s="81"/>
      <c r="AU41" s="81"/>
      <c r="AV41" s="81"/>
      <c r="AW41" s="76">
        <f>AV41+AU41+AT41+AR41</f>
        <v>59904</v>
      </c>
      <c r="AX41" s="76">
        <f>AV41+AS41</f>
        <v>0</v>
      </c>
      <c r="AY41" s="75"/>
      <c r="AZ41" s="75"/>
      <c r="BA41" s="75"/>
      <c r="BB41" s="75"/>
      <c r="BC41" s="75"/>
      <c r="BD41" s="75">
        <f>AW41+AY41+AZ41+BA41+BB41+BC41</f>
        <v>59904</v>
      </c>
      <c r="BE41" s="75">
        <f>AX41+BC41</f>
        <v>0</v>
      </c>
      <c r="BF41" s="75"/>
      <c r="BG41" s="79"/>
      <c r="BH41" s="79"/>
      <c r="BI41" s="75">
        <f>BD41+BF41+BG41+BH41</f>
        <v>59904</v>
      </c>
      <c r="BJ41" s="75">
        <f>BE41+BH41</f>
        <v>0</v>
      </c>
      <c r="BK41" s="75"/>
      <c r="BL41" s="75"/>
      <c r="BM41" s="75">
        <f>-1500-21404</f>
        <v>-22904</v>
      </c>
      <c r="BN41" s="78"/>
      <c r="BO41" s="75">
        <f>BI41+BK41+BL41+BM41+BN41</f>
        <v>37000</v>
      </c>
      <c r="BP41" s="75">
        <f>BJ41+BN41</f>
        <v>0</v>
      </c>
      <c r="BQ41" s="79"/>
      <c r="BR41" s="79"/>
      <c r="BS41" s="75">
        <v>-1056</v>
      </c>
      <c r="BT41" s="79"/>
      <c r="BU41" s="75">
        <f>BO41+BQ41+BS41+BT41</f>
        <v>35944</v>
      </c>
      <c r="BV41" s="75">
        <f>BP41+BT41</f>
        <v>0</v>
      </c>
      <c r="BW41" s="75">
        <v>24862</v>
      </c>
      <c r="BX41" s="75">
        <f>BR41+BV41</f>
        <v>0</v>
      </c>
      <c r="BY41" s="77">
        <f>BW41/BU41*100</f>
        <v>69.1687068773648</v>
      </c>
      <c r="BZ41" s="72"/>
    </row>
    <row r="42" spans="1:78" s="13" customFormat="1" ht="10.5" customHeight="1">
      <c r="A42" s="88"/>
      <c r="B42" s="89"/>
      <c r="C42" s="89"/>
      <c r="D42" s="90"/>
      <c r="E42" s="89"/>
      <c r="F42" s="75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79"/>
      <c r="R42" s="79"/>
      <c r="S42" s="75"/>
      <c r="T42" s="75"/>
      <c r="U42" s="79"/>
      <c r="V42" s="79"/>
      <c r="W42" s="79"/>
      <c r="X42" s="79"/>
      <c r="Y42" s="79"/>
      <c r="Z42" s="79"/>
      <c r="AA42" s="79"/>
      <c r="AB42" s="79"/>
      <c r="AC42" s="79"/>
      <c r="AD42" s="80"/>
      <c r="AE42" s="80"/>
      <c r="AF42" s="75"/>
      <c r="AG42" s="80"/>
      <c r="AH42" s="80"/>
      <c r="AI42" s="80"/>
      <c r="AJ42" s="80"/>
      <c r="AK42" s="79"/>
      <c r="AL42" s="79"/>
      <c r="AM42" s="79"/>
      <c r="AN42" s="79"/>
      <c r="AO42" s="79"/>
      <c r="AP42" s="79"/>
      <c r="AQ42" s="79"/>
      <c r="AR42" s="79"/>
      <c r="AS42" s="79"/>
      <c r="AT42" s="81"/>
      <c r="AU42" s="81"/>
      <c r="AV42" s="81"/>
      <c r="AW42" s="81"/>
      <c r="AX42" s="81"/>
      <c r="AY42" s="75"/>
      <c r="AZ42" s="75"/>
      <c r="BA42" s="75"/>
      <c r="BB42" s="75"/>
      <c r="BC42" s="75"/>
      <c r="BD42" s="78"/>
      <c r="BE42" s="78"/>
      <c r="BF42" s="79"/>
      <c r="BG42" s="79"/>
      <c r="BH42" s="79"/>
      <c r="BI42" s="79"/>
      <c r="BJ42" s="79"/>
      <c r="BK42" s="78"/>
      <c r="BL42" s="78"/>
      <c r="BM42" s="78"/>
      <c r="BN42" s="78"/>
      <c r="BO42" s="78"/>
      <c r="BP42" s="78"/>
      <c r="BQ42" s="79"/>
      <c r="BR42" s="79"/>
      <c r="BS42" s="79"/>
      <c r="BT42" s="79"/>
      <c r="BU42" s="79"/>
      <c r="BV42" s="79"/>
      <c r="BW42" s="79"/>
      <c r="BX42" s="79"/>
      <c r="BY42" s="72"/>
      <c r="BZ42" s="72"/>
    </row>
    <row r="43" spans="1:78" s="14" customFormat="1" ht="20.25">
      <c r="A43" s="66" t="s">
        <v>25</v>
      </c>
      <c r="B43" s="67" t="s">
        <v>127</v>
      </c>
      <c r="C43" s="67" t="s">
        <v>142</v>
      </c>
      <c r="D43" s="85"/>
      <c r="E43" s="67"/>
      <c r="F43" s="69">
        <f aca="true" t="shared" si="36" ref="F43:U44">F44</f>
        <v>35000</v>
      </c>
      <c r="G43" s="69">
        <f t="shared" si="36"/>
        <v>-5000</v>
      </c>
      <c r="H43" s="69">
        <f t="shared" si="36"/>
        <v>30000</v>
      </c>
      <c r="I43" s="69">
        <f t="shared" si="36"/>
        <v>0</v>
      </c>
      <c r="J43" s="69">
        <f t="shared" si="36"/>
        <v>0</v>
      </c>
      <c r="K43" s="69">
        <f t="shared" si="36"/>
        <v>0</v>
      </c>
      <c r="L43" s="69">
        <f t="shared" si="36"/>
        <v>0</v>
      </c>
      <c r="M43" s="69">
        <f t="shared" si="36"/>
        <v>30000</v>
      </c>
      <c r="N43" s="69">
        <f t="shared" si="36"/>
        <v>0</v>
      </c>
      <c r="O43" s="69">
        <f t="shared" si="36"/>
        <v>0</v>
      </c>
      <c r="P43" s="69"/>
      <c r="Q43" s="69">
        <f t="shared" si="36"/>
        <v>0</v>
      </c>
      <c r="R43" s="69">
        <f t="shared" si="36"/>
        <v>0</v>
      </c>
      <c r="S43" s="69">
        <f t="shared" si="36"/>
        <v>30000</v>
      </c>
      <c r="T43" s="69">
        <f t="shared" si="36"/>
        <v>0</v>
      </c>
      <c r="U43" s="69">
        <f t="shared" si="36"/>
        <v>0</v>
      </c>
      <c r="V43" s="69">
        <f aca="true" t="shared" si="37" ref="T43:AJ44">V44</f>
        <v>0</v>
      </c>
      <c r="W43" s="69">
        <f t="shared" si="37"/>
        <v>0</v>
      </c>
      <c r="X43" s="69">
        <f t="shared" si="37"/>
        <v>0</v>
      </c>
      <c r="Y43" s="69">
        <f t="shared" si="37"/>
        <v>0</v>
      </c>
      <c r="Z43" s="69">
        <f t="shared" si="37"/>
        <v>0</v>
      </c>
      <c r="AA43" s="69">
        <f t="shared" si="37"/>
        <v>0</v>
      </c>
      <c r="AB43" s="69">
        <f t="shared" si="37"/>
        <v>30000</v>
      </c>
      <c r="AC43" s="69">
        <f t="shared" si="37"/>
        <v>0</v>
      </c>
      <c r="AD43" s="69">
        <f t="shared" si="37"/>
        <v>0</v>
      </c>
      <c r="AE43" s="69">
        <f t="shared" si="37"/>
        <v>0</v>
      </c>
      <c r="AF43" s="69">
        <f t="shared" si="37"/>
        <v>-10000</v>
      </c>
      <c r="AG43" s="69">
        <f t="shared" si="37"/>
        <v>0</v>
      </c>
      <c r="AH43" s="69">
        <f t="shared" si="37"/>
        <v>0</v>
      </c>
      <c r="AI43" s="69">
        <f t="shared" si="37"/>
        <v>20000</v>
      </c>
      <c r="AJ43" s="69">
        <f t="shared" si="37"/>
        <v>0</v>
      </c>
      <c r="AK43" s="69">
        <f>AK44</f>
        <v>0</v>
      </c>
      <c r="AL43" s="69">
        <f>AL44</f>
        <v>20000</v>
      </c>
      <c r="AM43" s="69">
        <f aca="true" t="shared" si="38" ref="AM43:BX43">AM44</f>
        <v>0</v>
      </c>
      <c r="AN43" s="69">
        <f t="shared" si="38"/>
        <v>0</v>
      </c>
      <c r="AO43" s="69">
        <f t="shared" si="38"/>
        <v>0</v>
      </c>
      <c r="AP43" s="69">
        <f t="shared" si="38"/>
        <v>0</v>
      </c>
      <c r="AQ43" s="69">
        <f t="shared" si="38"/>
        <v>0</v>
      </c>
      <c r="AR43" s="69">
        <f t="shared" si="38"/>
        <v>20000</v>
      </c>
      <c r="AS43" s="69">
        <f t="shared" si="38"/>
        <v>0</v>
      </c>
      <c r="AT43" s="70">
        <f t="shared" si="38"/>
        <v>0</v>
      </c>
      <c r="AU43" s="70">
        <f t="shared" si="38"/>
        <v>0</v>
      </c>
      <c r="AV43" s="70">
        <f t="shared" si="38"/>
        <v>0</v>
      </c>
      <c r="AW43" s="70">
        <f t="shared" si="38"/>
        <v>20000</v>
      </c>
      <c r="AX43" s="70">
        <f t="shared" si="38"/>
        <v>0</v>
      </c>
      <c r="AY43" s="69">
        <f t="shared" si="38"/>
        <v>-15000</v>
      </c>
      <c r="AZ43" s="69">
        <f t="shared" si="38"/>
        <v>-720</v>
      </c>
      <c r="BA43" s="69">
        <f t="shared" si="38"/>
        <v>0</v>
      </c>
      <c r="BB43" s="69">
        <f t="shared" si="38"/>
        <v>0</v>
      </c>
      <c r="BC43" s="69">
        <f t="shared" si="38"/>
        <v>0</v>
      </c>
      <c r="BD43" s="69">
        <f t="shared" si="38"/>
        <v>4280</v>
      </c>
      <c r="BE43" s="69">
        <f t="shared" si="38"/>
        <v>0</v>
      </c>
      <c r="BF43" s="69">
        <f t="shared" si="38"/>
        <v>-1996</v>
      </c>
      <c r="BG43" s="69">
        <f t="shared" si="38"/>
        <v>0</v>
      </c>
      <c r="BH43" s="69">
        <f t="shared" si="38"/>
        <v>0</v>
      </c>
      <c r="BI43" s="69">
        <f t="shared" si="38"/>
        <v>2284</v>
      </c>
      <c r="BJ43" s="69">
        <f t="shared" si="38"/>
        <v>0</v>
      </c>
      <c r="BK43" s="69">
        <f t="shared" si="38"/>
        <v>0</v>
      </c>
      <c r="BL43" s="69">
        <f t="shared" si="38"/>
        <v>0</v>
      </c>
      <c r="BM43" s="69">
        <f t="shared" si="38"/>
        <v>0</v>
      </c>
      <c r="BN43" s="69">
        <f t="shared" si="38"/>
        <v>0</v>
      </c>
      <c r="BO43" s="69">
        <f t="shared" si="38"/>
        <v>2284</v>
      </c>
      <c r="BP43" s="69">
        <f t="shared" si="38"/>
        <v>0</v>
      </c>
      <c r="BQ43" s="69">
        <f t="shared" si="38"/>
        <v>0</v>
      </c>
      <c r="BR43" s="69"/>
      <c r="BS43" s="69">
        <f t="shared" si="38"/>
        <v>-1059</v>
      </c>
      <c r="BT43" s="69">
        <f t="shared" si="38"/>
        <v>0</v>
      </c>
      <c r="BU43" s="69">
        <f t="shared" si="38"/>
        <v>1225</v>
      </c>
      <c r="BV43" s="69">
        <f t="shared" si="38"/>
        <v>0</v>
      </c>
      <c r="BW43" s="69">
        <f t="shared" si="38"/>
        <v>0</v>
      </c>
      <c r="BX43" s="69">
        <f t="shared" si="38"/>
        <v>0</v>
      </c>
      <c r="BY43" s="72">
        <f>BW43/BU43*100</f>
        <v>0</v>
      </c>
      <c r="BZ43" s="72"/>
    </row>
    <row r="44" spans="1:78" ht="19.5" customHeight="1" hidden="1">
      <c r="A44" s="88" t="s">
        <v>25</v>
      </c>
      <c r="B44" s="89" t="s">
        <v>127</v>
      </c>
      <c r="C44" s="89" t="s">
        <v>142</v>
      </c>
      <c r="D44" s="90" t="s">
        <v>26</v>
      </c>
      <c r="E44" s="89"/>
      <c r="F44" s="75">
        <f t="shared" si="36"/>
        <v>35000</v>
      </c>
      <c r="G44" s="75">
        <f t="shared" si="36"/>
        <v>-5000</v>
      </c>
      <c r="H44" s="75">
        <f t="shared" si="36"/>
        <v>30000</v>
      </c>
      <c r="I44" s="75">
        <f t="shared" si="36"/>
        <v>0</v>
      </c>
      <c r="J44" s="75">
        <f t="shared" si="36"/>
        <v>0</v>
      </c>
      <c r="K44" s="75">
        <f t="shared" si="36"/>
        <v>0</v>
      </c>
      <c r="L44" s="75">
        <f t="shared" si="36"/>
        <v>0</v>
      </c>
      <c r="M44" s="75">
        <f t="shared" si="36"/>
        <v>30000</v>
      </c>
      <c r="N44" s="75">
        <f t="shared" si="36"/>
        <v>0</v>
      </c>
      <c r="O44" s="75">
        <f t="shared" si="36"/>
        <v>0</v>
      </c>
      <c r="P44" s="75"/>
      <c r="Q44" s="75">
        <f t="shared" si="36"/>
        <v>0</v>
      </c>
      <c r="R44" s="75">
        <f t="shared" si="36"/>
        <v>0</v>
      </c>
      <c r="S44" s="75">
        <f t="shared" si="36"/>
        <v>30000</v>
      </c>
      <c r="T44" s="75">
        <f t="shared" si="37"/>
        <v>0</v>
      </c>
      <c r="U44" s="75">
        <f t="shared" si="37"/>
        <v>0</v>
      </c>
      <c r="V44" s="75">
        <f t="shared" si="37"/>
        <v>0</v>
      </c>
      <c r="W44" s="75">
        <f t="shared" si="37"/>
        <v>0</v>
      </c>
      <c r="X44" s="75">
        <f t="shared" si="37"/>
        <v>0</v>
      </c>
      <c r="Y44" s="75">
        <f t="shared" si="37"/>
        <v>0</v>
      </c>
      <c r="Z44" s="75">
        <f t="shared" si="37"/>
        <v>0</v>
      </c>
      <c r="AA44" s="75">
        <f t="shared" si="37"/>
        <v>0</v>
      </c>
      <c r="AB44" s="75">
        <f t="shared" si="37"/>
        <v>30000</v>
      </c>
      <c r="AC44" s="75">
        <f aca="true" t="shared" si="39" ref="AC44:BX44">AC45</f>
        <v>0</v>
      </c>
      <c r="AD44" s="75">
        <f t="shared" si="39"/>
        <v>0</v>
      </c>
      <c r="AE44" s="75">
        <f t="shared" si="39"/>
        <v>0</v>
      </c>
      <c r="AF44" s="75">
        <f t="shared" si="39"/>
        <v>-10000</v>
      </c>
      <c r="AG44" s="75">
        <f t="shared" si="39"/>
        <v>0</v>
      </c>
      <c r="AH44" s="75">
        <f t="shared" si="39"/>
        <v>0</v>
      </c>
      <c r="AI44" s="75">
        <f t="shared" si="39"/>
        <v>20000</v>
      </c>
      <c r="AJ44" s="75">
        <f t="shared" si="39"/>
        <v>0</v>
      </c>
      <c r="AK44" s="75">
        <f t="shared" si="39"/>
        <v>0</v>
      </c>
      <c r="AL44" s="75">
        <f t="shared" si="39"/>
        <v>20000</v>
      </c>
      <c r="AM44" s="75">
        <f t="shared" si="39"/>
        <v>0</v>
      </c>
      <c r="AN44" s="75">
        <f t="shared" si="39"/>
        <v>0</v>
      </c>
      <c r="AO44" s="75">
        <f t="shared" si="39"/>
        <v>0</v>
      </c>
      <c r="AP44" s="75">
        <f t="shared" si="39"/>
        <v>0</v>
      </c>
      <c r="AQ44" s="75">
        <f t="shared" si="39"/>
        <v>0</v>
      </c>
      <c r="AR44" s="75">
        <f t="shared" si="39"/>
        <v>20000</v>
      </c>
      <c r="AS44" s="75">
        <f t="shared" si="39"/>
        <v>0</v>
      </c>
      <c r="AT44" s="76">
        <f t="shared" si="39"/>
        <v>0</v>
      </c>
      <c r="AU44" s="76">
        <f t="shared" si="39"/>
        <v>0</v>
      </c>
      <c r="AV44" s="76">
        <f t="shared" si="39"/>
        <v>0</v>
      </c>
      <c r="AW44" s="76">
        <f t="shared" si="39"/>
        <v>20000</v>
      </c>
      <c r="AX44" s="76">
        <f t="shared" si="39"/>
        <v>0</v>
      </c>
      <c r="AY44" s="75">
        <f t="shared" si="39"/>
        <v>-15000</v>
      </c>
      <c r="AZ44" s="75">
        <f t="shared" si="39"/>
        <v>-720</v>
      </c>
      <c r="BA44" s="75">
        <f t="shared" si="39"/>
        <v>0</v>
      </c>
      <c r="BB44" s="75">
        <f t="shared" si="39"/>
        <v>0</v>
      </c>
      <c r="BC44" s="75">
        <f t="shared" si="39"/>
        <v>0</v>
      </c>
      <c r="BD44" s="75">
        <f t="shared" si="39"/>
        <v>4280</v>
      </c>
      <c r="BE44" s="75">
        <f t="shared" si="39"/>
        <v>0</v>
      </c>
      <c r="BF44" s="75">
        <f t="shared" si="39"/>
        <v>-1996</v>
      </c>
      <c r="BG44" s="75">
        <f t="shared" si="39"/>
        <v>0</v>
      </c>
      <c r="BH44" s="75">
        <f t="shared" si="39"/>
        <v>0</v>
      </c>
      <c r="BI44" s="75">
        <f t="shared" si="39"/>
        <v>2284</v>
      </c>
      <c r="BJ44" s="75">
        <f t="shared" si="39"/>
        <v>0</v>
      </c>
      <c r="BK44" s="75">
        <f t="shared" si="39"/>
        <v>0</v>
      </c>
      <c r="BL44" s="75">
        <f t="shared" si="39"/>
        <v>0</v>
      </c>
      <c r="BM44" s="75">
        <f t="shared" si="39"/>
        <v>0</v>
      </c>
      <c r="BN44" s="75">
        <f t="shared" si="39"/>
        <v>0</v>
      </c>
      <c r="BO44" s="75">
        <f t="shared" si="39"/>
        <v>2284</v>
      </c>
      <c r="BP44" s="75">
        <f t="shared" si="39"/>
        <v>0</v>
      </c>
      <c r="BQ44" s="75">
        <f t="shared" si="39"/>
        <v>0</v>
      </c>
      <c r="BR44" s="75"/>
      <c r="BS44" s="75">
        <f t="shared" si="39"/>
        <v>-1059</v>
      </c>
      <c r="BT44" s="75">
        <f t="shared" si="39"/>
        <v>0</v>
      </c>
      <c r="BU44" s="75">
        <f t="shared" si="39"/>
        <v>1225</v>
      </c>
      <c r="BV44" s="75">
        <f t="shared" si="39"/>
        <v>0</v>
      </c>
      <c r="BW44" s="75">
        <f t="shared" si="39"/>
        <v>0</v>
      </c>
      <c r="BX44" s="75">
        <f t="shared" si="39"/>
        <v>0</v>
      </c>
      <c r="BY44" s="72">
        <f>BW44/BU44*100</f>
        <v>0</v>
      </c>
      <c r="BZ44" s="72"/>
    </row>
    <row r="45" spans="1:78" s="12" customFormat="1" ht="69.75" customHeight="1" hidden="1">
      <c r="A45" s="88" t="s">
        <v>138</v>
      </c>
      <c r="B45" s="89" t="s">
        <v>127</v>
      </c>
      <c r="C45" s="89" t="s">
        <v>142</v>
      </c>
      <c r="D45" s="90" t="s">
        <v>26</v>
      </c>
      <c r="E45" s="89" t="s">
        <v>139</v>
      </c>
      <c r="F45" s="75">
        <v>35000</v>
      </c>
      <c r="G45" s="75">
        <f>H45-F45</f>
        <v>-5000</v>
      </c>
      <c r="H45" s="75">
        <f>35000-5000</f>
        <v>30000</v>
      </c>
      <c r="I45" s="105"/>
      <c r="J45" s="105"/>
      <c r="K45" s="105"/>
      <c r="L45" s="105"/>
      <c r="M45" s="75">
        <f>H45+J45+K45+L45</f>
        <v>30000</v>
      </c>
      <c r="N45" s="78">
        <f>I45+L45</f>
        <v>0</v>
      </c>
      <c r="O45" s="105"/>
      <c r="P45" s="105"/>
      <c r="Q45" s="106"/>
      <c r="R45" s="106"/>
      <c r="S45" s="75">
        <f>M45+O45+P45+Q45+R45</f>
        <v>30000</v>
      </c>
      <c r="T45" s="75">
        <f>N45+R45</f>
        <v>0</v>
      </c>
      <c r="U45" s="106"/>
      <c r="V45" s="106"/>
      <c r="W45" s="106"/>
      <c r="X45" s="75"/>
      <c r="Y45" s="106"/>
      <c r="Z45" s="106"/>
      <c r="AA45" s="106"/>
      <c r="AB45" s="75">
        <f>S45+U45+V45+W45+X45+Y45+Z45+AA45</f>
        <v>30000</v>
      </c>
      <c r="AC45" s="80">
        <f>T45+Z45+AA45</f>
        <v>0</v>
      </c>
      <c r="AD45" s="107"/>
      <c r="AE45" s="107"/>
      <c r="AF45" s="75">
        <v>-10000</v>
      </c>
      <c r="AG45" s="107"/>
      <c r="AH45" s="107"/>
      <c r="AI45" s="75">
        <f>AB45+AD45+AE45+AF45+AG45+AH45</f>
        <v>20000</v>
      </c>
      <c r="AJ45" s="75">
        <f>AC45+AH45</f>
        <v>0</v>
      </c>
      <c r="AK45" s="106"/>
      <c r="AL45" s="75">
        <f>AI45+AK45</f>
        <v>20000</v>
      </c>
      <c r="AM45" s="75">
        <f>AJ45</f>
        <v>0</v>
      </c>
      <c r="AN45" s="106"/>
      <c r="AO45" s="106"/>
      <c r="AP45" s="106"/>
      <c r="AQ45" s="106"/>
      <c r="AR45" s="75">
        <f>AL45+AN45+AO45+AP45+AQ45</f>
        <v>20000</v>
      </c>
      <c r="AS45" s="75">
        <f>AM45+AQ45</f>
        <v>0</v>
      </c>
      <c r="AT45" s="108"/>
      <c r="AU45" s="108"/>
      <c r="AV45" s="108"/>
      <c r="AW45" s="76">
        <f>AV45+AU45+AT45+AR45</f>
        <v>20000</v>
      </c>
      <c r="AX45" s="76">
        <f>AV45+AS45</f>
        <v>0</v>
      </c>
      <c r="AY45" s="75">
        <v>-15000</v>
      </c>
      <c r="AZ45" s="75">
        <f>-420-300</f>
        <v>-720</v>
      </c>
      <c r="BA45" s="75"/>
      <c r="BB45" s="75"/>
      <c r="BC45" s="69"/>
      <c r="BD45" s="75">
        <f>AW45+AY45+AZ45+BA45+BB45+BC45</f>
        <v>4280</v>
      </c>
      <c r="BE45" s="75">
        <f>AX45+BC45</f>
        <v>0</v>
      </c>
      <c r="BF45" s="75">
        <v>-1996</v>
      </c>
      <c r="BG45" s="106"/>
      <c r="BH45" s="106"/>
      <c r="BI45" s="75">
        <f>BD45+BF45+BG45+BH45</f>
        <v>2284</v>
      </c>
      <c r="BJ45" s="75">
        <f>BE45+BH45</f>
        <v>0</v>
      </c>
      <c r="BK45" s="109"/>
      <c r="BL45" s="109"/>
      <c r="BM45" s="75"/>
      <c r="BN45" s="109"/>
      <c r="BO45" s="75">
        <f>BI45+BK45+BL45+BM45+BN45</f>
        <v>2284</v>
      </c>
      <c r="BP45" s="75">
        <f>BJ45+BN45</f>
        <v>0</v>
      </c>
      <c r="BQ45" s="106"/>
      <c r="BR45" s="106"/>
      <c r="BS45" s="75">
        <f>-1059</f>
        <v>-1059</v>
      </c>
      <c r="BT45" s="106"/>
      <c r="BU45" s="75">
        <f>BO45+BQ45+BS45+BT45</f>
        <v>1225</v>
      </c>
      <c r="BV45" s="75">
        <f>BP45+BT45</f>
        <v>0</v>
      </c>
      <c r="BW45" s="75"/>
      <c r="BX45" s="75">
        <f>BR45+BV45</f>
        <v>0</v>
      </c>
      <c r="BY45" s="72"/>
      <c r="BZ45" s="72"/>
    </row>
    <row r="46" spans="1:78" ht="11.25" customHeight="1">
      <c r="A46" s="110"/>
      <c r="B46" s="83"/>
      <c r="C46" s="83"/>
      <c r="D46" s="84"/>
      <c r="E46" s="83"/>
      <c r="F46" s="50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52"/>
      <c r="U46" s="51"/>
      <c r="V46" s="51"/>
      <c r="W46" s="51"/>
      <c r="X46" s="51"/>
      <c r="Y46" s="51"/>
      <c r="Z46" s="51"/>
      <c r="AA46" s="51"/>
      <c r="AB46" s="51"/>
      <c r="AC46" s="51"/>
      <c r="AD46" s="50"/>
      <c r="AE46" s="50"/>
      <c r="AF46" s="52"/>
      <c r="AG46" s="50"/>
      <c r="AH46" s="50"/>
      <c r="AI46" s="50"/>
      <c r="AJ46" s="50"/>
      <c r="AK46" s="51"/>
      <c r="AL46" s="51"/>
      <c r="AM46" s="51"/>
      <c r="AN46" s="51"/>
      <c r="AO46" s="51"/>
      <c r="AP46" s="51"/>
      <c r="AQ46" s="51"/>
      <c r="AR46" s="51"/>
      <c r="AS46" s="51"/>
      <c r="AT46" s="53"/>
      <c r="AU46" s="53"/>
      <c r="AV46" s="53"/>
      <c r="AW46" s="53"/>
      <c r="AX46" s="53"/>
      <c r="AY46" s="52"/>
      <c r="AZ46" s="52"/>
      <c r="BA46" s="52"/>
      <c r="BB46" s="52"/>
      <c r="BC46" s="52"/>
      <c r="BD46" s="54"/>
      <c r="BE46" s="54"/>
      <c r="BF46" s="51"/>
      <c r="BG46" s="51"/>
      <c r="BH46" s="51"/>
      <c r="BI46" s="51"/>
      <c r="BJ46" s="51"/>
      <c r="BK46" s="54"/>
      <c r="BL46" s="54"/>
      <c r="BM46" s="54"/>
      <c r="BN46" s="54"/>
      <c r="BO46" s="54"/>
      <c r="BP46" s="54"/>
      <c r="BQ46" s="51"/>
      <c r="BR46" s="51"/>
      <c r="BS46" s="51"/>
      <c r="BT46" s="51"/>
      <c r="BU46" s="51"/>
      <c r="BV46" s="51"/>
      <c r="BW46" s="51"/>
      <c r="BX46" s="51"/>
      <c r="BY46" s="72"/>
      <c r="BZ46" s="72"/>
    </row>
    <row r="47" spans="1:78" s="12" customFormat="1" ht="20.25">
      <c r="A47" s="66" t="s">
        <v>27</v>
      </c>
      <c r="B47" s="67" t="s">
        <v>127</v>
      </c>
      <c r="C47" s="67" t="s">
        <v>143</v>
      </c>
      <c r="D47" s="85"/>
      <c r="E47" s="67"/>
      <c r="F47" s="69">
        <f aca="true" t="shared" si="40" ref="F47:M47">F48+F52+F58+F50</f>
        <v>90528</v>
      </c>
      <c r="G47" s="69">
        <f t="shared" si="40"/>
        <v>285414</v>
      </c>
      <c r="H47" s="69">
        <f t="shared" si="40"/>
        <v>375942</v>
      </c>
      <c r="I47" s="69">
        <f t="shared" si="40"/>
        <v>0</v>
      </c>
      <c r="J47" s="69">
        <f t="shared" si="40"/>
        <v>30000</v>
      </c>
      <c r="K47" s="69">
        <f t="shared" si="40"/>
        <v>0</v>
      </c>
      <c r="L47" s="69">
        <f t="shared" si="40"/>
        <v>0</v>
      </c>
      <c r="M47" s="69">
        <f t="shared" si="40"/>
        <v>405942</v>
      </c>
      <c r="N47" s="69">
        <f aca="true" t="shared" si="41" ref="N47:S47">N48+N52+N58+N50</f>
        <v>0</v>
      </c>
      <c r="O47" s="69">
        <f t="shared" si="41"/>
        <v>0</v>
      </c>
      <c r="P47" s="69">
        <f t="shared" si="41"/>
        <v>0</v>
      </c>
      <c r="Q47" s="69">
        <f t="shared" si="41"/>
        <v>0</v>
      </c>
      <c r="R47" s="69">
        <f t="shared" si="41"/>
        <v>0</v>
      </c>
      <c r="S47" s="69">
        <f t="shared" si="41"/>
        <v>405942</v>
      </c>
      <c r="T47" s="69">
        <f aca="true" t="shared" si="42" ref="T47:AB47">T48+T52+T58+T50</f>
        <v>0</v>
      </c>
      <c r="U47" s="69">
        <f t="shared" si="42"/>
        <v>0</v>
      </c>
      <c r="V47" s="69">
        <f t="shared" si="42"/>
        <v>0</v>
      </c>
      <c r="W47" s="69">
        <f t="shared" si="42"/>
        <v>0</v>
      </c>
      <c r="X47" s="69">
        <f t="shared" si="42"/>
        <v>0</v>
      </c>
      <c r="Y47" s="69">
        <f t="shared" si="42"/>
        <v>0</v>
      </c>
      <c r="Z47" s="69">
        <f t="shared" si="42"/>
        <v>0</v>
      </c>
      <c r="AA47" s="69">
        <f t="shared" si="42"/>
        <v>0</v>
      </c>
      <c r="AB47" s="69">
        <f t="shared" si="42"/>
        <v>405942</v>
      </c>
      <c r="AC47" s="69">
        <f aca="true" t="shared" si="43" ref="AC47:AI47">AC48+AC52+AC58+AC50</f>
        <v>0</v>
      </c>
      <c r="AD47" s="69">
        <f t="shared" si="43"/>
        <v>-196</v>
      </c>
      <c r="AE47" s="69">
        <f t="shared" si="43"/>
        <v>-56467</v>
      </c>
      <c r="AF47" s="69">
        <f t="shared" si="43"/>
        <v>-130225</v>
      </c>
      <c r="AG47" s="69">
        <f t="shared" si="43"/>
        <v>0</v>
      </c>
      <c r="AH47" s="69">
        <f t="shared" si="43"/>
        <v>0</v>
      </c>
      <c r="AI47" s="69">
        <f t="shared" si="43"/>
        <v>219054</v>
      </c>
      <c r="AJ47" s="69">
        <f>AJ48+AJ52+AJ58+AJ50</f>
        <v>0</v>
      </c>
      <c r="AK47" s="69">
        <f>AK48+AK52+AK58+AK50</f>
        <v>-30000</v>
      </c>
      <c r="AL47" s="69">
        <f>AL48+AL52+AL58+AL50</f>
        <v>189054</v>
      </c>
      <c r="AM47" s="69">
        <f aca="true" t="shared" si="44" ref="AM47:AS47">AM48+AM52+AM58+AM50</f>
        <v>0</v>
      </c>
      <c r="AN47" s="69">
        <f t="shared" si="44"/>
        <v>-183</v>
      </c>
      <c r="AO47" s="69">
        <f>AO48+AO52+AO58+AO50</f>
        <v>-44433</v>
      </c>
      <c r="AP47" s="69">
        <f t="shared" si="44"/>
        <v>-132</v>
      </c>
      <c r="AQ47" s="69">
        <f t="shared" si="44"/>
        <v>0</v>
      </c>
      <c r="AR47" s="69">
        <f t="shared" si="44"/>
        <v>144306</v>
      </c>
      <c r="AS47" s="69">
        <f t="shared" si="44"/>
        <v>0</v>
      </c>
      <c r="AT47" s="70">
        <f>AT48+AT52+AT58+AT50</f>
        <v>0</v>
      </c>
      <c r="AU47" s="70">
        <f>AU48+AU52+AU58+AU50</f>
        <v>0</v>
      </c>
      <c r="AV47" s="70">
        <f>AV48+AV52+AV58+AV50</f>
        <v>0</v>
      </c>
      <c r="AW47" s="70">
        <f>AW48+AW52+AW58+AW50</f>
        <v>144306</v>
      </c>
      <c r="AX47" s="70">
        <f aca="true" t="shared" si="45" ref="AX47:BD47">AX48+AX52+AX58+AX50</f>
        <v>0</v>
      </c>
      <c r="AY47" s="69">
        <f t="shared" si="45"/>
        <v>-17115</v>
      </c>
      <c r="AZ47" s="69">
        <f t="shared" si="45"/>
        <v>0</v>
      </c>
      <c r="BA47" s="69">
        <f t="shared" si="45"/>
        <v>2490</v>
      </c>
      <c r="BB47" s="69">
        <f>BB48+BB52+BB58+BB50</f>
        <v>5013</v>
      </c>
      <c r="BC47" s="69">
        <f t="shared" si="45"/>
        <v>0</v>
      </c>
      <c r="BD47" s="69">
        <f t="shared" si="45"/>
        <v>134694</v>
      </c>
      <c r="BE47" s="69">
        <f>BE48+BE52+BE58+BE50</f>
        <v>0</v>
      </c>
      <c r="BF47" s="69">
        <f>BF48+BF52+BF58+BF50</f>
        <v>0</v>
      </c>
      <c r="BG47" s="69">
        <f>BG48+BG52+BG58+BG50</f>
        <v>0</v>
      </c>
      <c r="BH47" s="69">
        <f>BH48+BH52+BH58+BH50</f>
        <v>0</v>
      </c>
      <c r="BI47" s="69">
        <f>BI48+BI52+BI58+BI50</f>
        <v>134694</v>
      </c>
      <c r="BJ47" s="69">
        <f aca="true" t="shared" si="46" ref="BJ47:BP47">BJ48+BJ52+BJ58+BJ50</f>
        <v>0</v>
      </c>
      <c r="BK47" s="69">
        <f t="shared" si="46"/>
        <v>-9906</v>
      </c>
      <c r="BL47" s="69">
        <f t="shared" si="46"/>
        <v>-18</v>
      </c>
      <c r="BM47" s="69">
        <f t="shared" si="46"/>
        <v>-2404</v>
      </c>
      <c r="BN47" s="69">
        <f t="shared" si="46"/>
        <v>0</v>
      </c>
      <c r="BO47" s="69">
        <f t="shared" si="46"/>
        <v>122366</v>
      </c>
      <c r="BP47" s="69">
        <f t="shared" si="46"/>
        <v>0</v>
      </c>
      <c r="BQ47" s="69">
        <f aca="true" t="shared" si="47" ref="BQ47:BV47">BQ48+BQ52+BQ58+BQ50</f>
        <v>-104</v>
      </c>
      <c r="BR47" s="69">
        <f t="shared" si="47"/>
        <v>1080</v>
      </c>
      <c r="BS47" s="69">
        <f t="shared" si="47"/>
        <v>1060</v>
      </c>
      <c r="BT47" s="69">
        <f t="shared" si="47"/>
        <v>0</v>
      </c>
      <c r="BU47" s="69">
        <f t="shared" si="47"/>
        <v>124402</v>
      </c>
      <c r="BV47" s="69">
        <f t="shared" si="47"/>
        <v>0</v>
      </c>
      <c r="BW47" s="69">
        <f>BW48+BW52+BW58+BW50</f>
        <v>113578</v>
      </c>
      <c r="BX47" s="69">
        <f>BX48+BX52+BX58+BX50</f>
        <v>0</v>
      </c>
      <c r="BY47" s="71">
        <f aca="true" t="shared" si="48" ref="BY47:BY59">BW47/BU47*100</f>
        <v>91.29917525441714</v>
      </c>
      <c r="BZ47" s="72"/>
    </row>
    <row r="48" spans="1:78" s="11" customFormat="1" ht="99" customHeight="1" hidden="1">
      <c r="A48" s="88" t="s">
        <v>133</v>
      </c>
      <c r="B48" s="89" t="s">
        <v>127</v>
      </c>
      <c r="C48" s="89" t="s">
        <v>143</v>
      </c>
      <c r="D48" s="90" t="s">
        <v>124</v>
      </c>
      <c r="E48" s="89"/>
      <c r="F48" s="75">
        <f>F49</f>
        <v>20371</v>
      </c>
      <c r="G48" s="75">
        <f>G49</f>
        <v>-19690</v>
      </c>
      <c r="H48" s="75">
        <f>H49</f>
        <v>681</v>
      </c>
      <c r="I48" s="75">
        <f aca="true" t="shared" si="49" ref="I48:BW48">I49</f>
        <v>0</v>
      </c>
      <c r="J48" s="75">
        <f t="shared" si="49"/>
        <v>0</v>
      </c>
      <c r="K48" s="75">
        <f t="shared" si="49"/>
        <v>0</v>
      </c>
      <c r="L48" s="75">
        <f t="shared" si="49"/>
        <v>0</v>
      </c>
      <c r="M48" s="75">
        <f t="shared" si="49"/>
        <v>681</v>
      </c>
      <c r="N48" s="75">
        <f t="shared" si="49"/>
        <v>0</v>
      </c>
      <c r="O48" s="75">
        <f t="shared" si="49"/>
        <v>0</v>
      </c>
      <c r="P48" s="75"/>
      <c r="Q48" s="75">
        <f t="shared" si="49"/>
        <v>0</v>
      </c>
      <c r="R48" s="75">
        <f t="shared" si="49"/>
        <v>0</v>
      </c>
      <c r="S48" s="75">
        <f t="shared" si="49"/>
        <v>681</v>
      </c>
      <c r="T48" s="75">
        <f t="shared" si="49"/>
        <v>0</v>
      </c>
      <c r="U48" s="75">
        <f t="shared" si="49"/>
        <v>0</v>
      </c>
      <c r="V48" s="75">
        <f t="shared" si="49"/>
        <v>0</v>
      </c>
      <c r="W48" s="75">
        <f t="shared" si="49"/>
        <v>0</v>
      </c>
      <c r="X48" s="75">
        <f t="shared" si="49"/>
        <v>0</v>
      </c>
      <c r="Y48" s="75">
        <f t="shared" si="49"/>
        <v>0</v>
      </c>
      <c r="Z48" s="75">
        <f t="shared" si="49"/>
        <v>0</v>
      </c>
      <c r="AA48" s="75">
        <f t="shared" si="49"/>
        <v>0</v>
      </c>
      <c r="AB48" s="75">
        <f t="shared" si="49"/>
        <v>681</v>
      </c>
      <c r="AC48" s="75">
        <f t="shared" si="49"/>
        <v>0</v>
      </c>
      <c r="AD48" s="75">
        <f t="shared" si="49"/>
        <v>0</v>
      </c>
      <c r="AE48" s="75">
        <f t="shared" si="49"/>
        <v>0</v>
      </c>
      <c r="AF48" s="75">
        <f t="shared" si="49"/>
        <v>0</v>
      </c>
      <c r="AG48" s="75">
        <f t="shared" si="49"/>
        <v>0</v>
      </c>
      <c r="AH48" s="75">
        <f t="shared" si="49"/>
        <v>0</v>
      </c>
      <c r="AI48" s="75">
        <f t="shared" si="49"/>
        <v>681</v>
      </c>
      <c r="AJ48" s="75">
        <f t="shared" si="49"/>
        <v>0</v>
      </c>
      <c r="AK48" s="75">
        <f t="shared" si="49"/>
        <v>0</v>
      </c>
      <c r="AL48" s="75">
        <f t="shared" si="49"/>
        <v>681</v>
      </c>
      <c r="AM48" s="75">
        <f t="shared" si="49"/>
        <v>0</v>
      </c>
      <c r="AN48" s="75">
        <f t="shared" si="49"/>
        <v>0</v>
      </c>
      <c r="AO48" s="75">
        <f t="shared" si="49"/>
        <v>0</v>
      </c>
      <c r="AP48" s="75">
        <f t="shared" si="49"/>
        <v>0</v>
      </c>
      <c r="AQ48" s="75">
        <f t="shared" si="49"/>
        <v>0</v>
      </c>
      <c r="AR48" s="75">
        <f t="shared" si="49"/>
        <v>681</v>
      </c>
      <c r="AS48" s="75">
        <f t="shared" si="49"/>
        <v>0</v>
      </c>
      <c r="AT48" s="76">
        <f t="shared" si="49"/>
        <v>0</v>
      </c>
      <c r="AU48" s="76">
        <f t="shared" si="49"/>
        <v>0</v>
      </c>
      <c r="AV48" s="76">
        <f t="shared" si="49"/>
        <v>0</v>
      </c>
      <c r="AW48" s="76">
        <f t="shared" si="49"/>
        <v>681</v>
      </c>
      <c r="AX48" s="76">
        <f t="shared" si="49"/>
        <v>0</v>
      </c>
      <c r="AY48" s="75">
        <f t="shared" si="49"/>
        <v>0</v>
      </c>
      <c r="AZ48" s="75">
        <f t="shared" si="49"/>
        <v>0</v>
      </c>
      <c r="BA48" s="75"/>
      <c r="BB48" s="75"/>
      <c r="BC48" s="75">
        <f t="shared" si="49"/>
        <v>0</v>
      </c>
      <c r="BD48" s="75">
        <f t="shared" si="49"/>
        <v>681</v>
      </c>
      <c r="BE48" s="75">
        <f t="shared" si="49"/>
        <v>0</v>
      </c>
      <c r="BF48" s="75">
        <f t="shared" si="49"/>
        <v>0</v>
      </c>
      <c r="BG48" s="75">
        <f t="shared" si="49"/>
        <v>0</v>
      </c>
      <c r="BH48" s="75">
        <f t="shared" si="49"/>
        <v>0</v>
      </c>
      <c r="BI48" s="75">
        <f t="shared" si="49"/>
        <v>681</v>
      </c>
      <c r="BJ48" s="75">
        <f t="shared" si="49"/>
        <v>0</v>
      </c>
      <c r="BK48" s="75">
        <f t="shared" si="49"/>
        <v>0</v>
      </c>
      <c r="BL48" s="75">
        <f t="shared" si="49"/>
        <v>0</v>
      </c>
      <c r="BM48" s="75">
        <f t="shared" si="49"/>
        <v>0</v>
      </c>
      <c r="BN48" s="75">
        <f t="shared" si="49"/>
        <v>0</v>
      </c>
      <c r="BO48" s="75">
        <f t="shared" si="49"/>
        <v>681</v>
      </c>
      <c r="BP48" s="75">
        <f t="shared" si="49"/>
        <v>0</v>
      </c>
      <c r="BQ48" s="75">
        <f t="shared" si="49"/>
        <v>0</v>
      </c>
      <c r="BR48" s="75"/>
      <c r="BS48" s="75">
        <f t="shared" si="49"/>
        <v>0</v>
      </c>
      <c r="BT48" s="75">
        <f t="shared" si="49"/>
        <v>0</v>
      </c>
      <c r="BU48" s="75">
        <f t="shared" si="49"/>
        <v>681</v>
      </c>
      <c r="BV48" s="75">
        <f>BV49</f>
        <v>0</v>
      </c>
      <c r="BW48" s="75">
        <f t="shared" si="49"/>
        <v>668</v>
      </c>
      <c r="BX48" s="75">
        <f>BX49</f>
        <v>0</v>
      </c>
      <c r="BY48" s="77">
        <f t="shared" si="48"/>
        <v>98.09104258443465</v>
      </c>
      <c r="BZ48" s="60"/>
    </row>
    <row r="49" spans="1:78" s="13" customFormat="1" ht="46.5" customHeight="1" hidden="1">
      <c r="A49" s="88" t="s">
        <v>129</v>
      </c>
      <c r="B49" s="89" t="s">
        <v>127</v>
      </c>
      <c r="C49" s="89" t="s">
        <v>143</v>
      </c>
      <c r="D49" s="90" t="s">
        <v>124</v>
      </c>
      <c r="E49" s="89" t="s">
        <v>130</v>
      </c>
      <c r="F49" s="99">
        <v>20371</v>
      </c>
      <c r="G49" s="75">
        <f>H49-F49</f>
        <v>-19690</v>
      </c>
      <c r="H49" s="100">
        <f>681</f>
        <v>681</v>
      </c>
      <c r="I49" s="111"/>
      <c r="J49" s="111"/>
      <c r="K49" s="111"/>
      <c r="L49" s="111"/>
      <c r="M49" s="75">
        <f>H49+J49+K49+L49</f>
        <v>681</v>
      </c>
      <c r="N49" s="78">
        <f>I49+L49</f>
        <v>0</v>
      </c>
      <c r="O49" s="111"/>
      <c r="P49" s="111"/>
      <c r="Q49" s="112"/>
      <c r="R49" s="112"/>
      <c r="S49" s="75">
        <f>M49+O49+P49+Q49+R49</f>
        <v>681</v>
      </c>
      <c r="T49" s="75">
        <f>N49+R49</f>
        <v>0</v>
      </c>
      <c r="U49" s="112"/>
      <c r="V49" s="112"/>
      <c r="W49" s="112"/>
      <c r="X49" s="112"/>
      <c r="Y49" s="112"/>
      <c r="Z49" s="112"/>
      <c r="AA49" s="112"/>
      <c r="AB49" s="75">
        <f>S49+U49+V49+W49+X49+Y49+Z49+AA49</f>
        <v>681</v>
      </c>
      <c r="AC49" s="80">
        <f>T49+Z49+AA49</f>
        <v>0</v>
      </c>
      <c r="AD49" s="113"/>
      <c r="AE49" s="113"/>
      <c r="AF49" s="114"/>
      <c r="AG49" s="113"/>
      <c r="AH49" s="113"/>
      <c r="AI49" s="75">
        <f>AB49+AD49+AE49+AF49+AG49+AH49</f>
        <v>681</v>
      </c>
      <c r="AJ49" s="75">
        <f>AC49+AH49</f>
        <v>0</v>
      </c>
      <c r="AK49" s="112"/>
      <c r="AL49" s="75">
        <f>AI49+AK49</f>
        <v>681</v>
      </c>
      <c r="AM49" s="75">
        <f>AJ49</f>
        <v>0</v>
      </c>
      <c r="AN49" s="112"/>
      <c r="AO49" s="112"/>
      <c r="AP49" s="112"/>
      <c r="AQ49" s="112"/>
      <c r="AR49" s="75">
        <f>AL49+AN49+AO49+AP49+AQ49</f>
        <v>681</v>
      </c>
      <c r="AS49" s="75">
        <f>AM49+AQ49</f>
        <v>0</v>
      </c>
      <c r="AT49" s="115"/>
      <c r="AU49" s="115"/>
      <c r="AV49" s="115"/>
      <c r="AW49" s="76">
        <f>AV49+AU49+AT49+AR49</f>
        <v>681</v>
      </c>
      <c r="AX49" s="76">
        <f>AV49+AS49</f>
        <v>0</v>
      </c>
      <c r="AY49" s="114"/>
      <c r="AZ49" s="114"/>
      <c r="BA49" s="114"/>
      <c r="BB49" s="114"/>
      <c r="BC49" s="114"/>
      <c r="BD49" s="75">
        <f>AW49+AY49+AZ49+BA49+BB49+BC49</f>
        <v>681</v>
      </c>
      <c r="BE49" s="75">
        <f>AX49+BC49</f>
        <v>0</v>
      </c>
      <c r="BF49" s="112"/>
      <c r="BG49" s="112"/>
      <c r="BH49" s="112"/>
      <c r="BI49" s="75">
        <f>BD49+BF49+BG49+BH49</f>
        <v>681</v>
      </c>
      <c r="BJ49" s="75">
        <f>BE49+BH49</f>
        <v>0</v>
      </c>
      <c r="BK49" s="116"/>
      <c r="BL49" s="116"/>
      <c r="BM49" s="116"/>
      <c r="BN49" s="116"/>
      <c r="BO49" s="75">
        <f>BI49+BK49+BL49+BM49+BN49</f>
        <v>681</v>
      </c>
      <c r="BP49" s="75">
        <f>BJ49+BN49</f>
        <v>0</v>
      </c>
      <c r="BQ49" s="112"/>
      <c r="BR49" s="112"/>
      <c r="BS49" s="112"/>
      <c r="BT49" s="112"/>
      <c r="BU49" s="75">
        <f>BO49+BQ49+BS49+BT49</f>
        <v>681</v>
      </c>
      <c r="BV49" s="75">
        <f>BP49+BT49</f>
        <v>0</v>
      </c>
      <c r="BW49" s="75">
        <v>668</v>
      </c>
      <c r="BX49" s="75">
        <f>BR49+BV49</f>
        <v>0</v>
      </c>
      <c r="BY49" s="77">
        <f t="shared" si="48"/>
        <v>98.09104258443465</v>
      </c>
      <c r="BZ49" s="60"/>
    </row>
    <row r="50" spans="1:78" s="14" customFormat="1" ht="69" customHeight="1" hidden="1">
      <c r="A50" s="88" t="s">
        <v>242</v>
      </c>
      <c r="B50" s="89" t="s">
        <v>127</v>
      </c>
      <c r="C50" s="89" t="s">
        <v>143</v>
      </c>
      <c r="D50" s="90" t="s">
        <v>243</v>
      </c>
      <c r="E50" s="89"/>
      <c r="F50" s="99">
        <f>F51</f>
        <v>0</v>
      </c>
      <c r="G50" s="99">
        <f>G51</f>
        <v>6769</v>
      </c>
      <c r="H50" s="99">
        <f>H51</f>
        <v>6769</v>
      </c>
      <c r="I50" s="99">
        <f aca="true" t="shared" si="50" ref="I50:BW50">I51</f>
        <v>0</v>
      </c>
      <c r="J50" s="99">
        <f t="shared" si="50"/>
        <v>0</v>
      </c>
      <c r="K50" s="99">
        <f t="shared" si="50"/>
        <v>0</v>
      </c>
      <c r="L50" s="99">
        <f t="shared" si="50"/>
        <v>0</v>
      </c>
      <c r="M50" s="99">
        <f t="shared" si="50"/>
        <v>6769</v>
      </c>
      <c r="N50" s="99">
        <f t="shared" si="50"/>
        <v>0</v>
      </c>
      <c r="O50" s="99">
        <f t="shared" si="50"/>
        <v>0</v>
      </c>
      <c r="P50" s="99"/>
      <c r="Q50" s="99">
        <f t="shared" si="50"/>
        <v>0</v>
      </c>
      <c r="R50" s="99">
        <f t="shared" si="50"/>
        <v>0</v>
      </c>
      <c r="S50" s="99">
        <f t="shared" si="50"/>
        <v>6769</v>
      </c>
      <c r="T50" s="99">
        <f t="shared" si="50"/>
        <v>0</v>
      </c>
      <c r="U50" s="99">
        <f t="shared" si="50"/>
        <v>0</v>
      </c>
      <c r="V50" s="99">
        <f t="shared" si="50"/>
        <v>0</v>
      </c>
      <c r="W50" s="99">
        <f t="shared" si="50"/>
        <v>0</v>
      </c>
      <c r="X50" s="99">
        <f t="shared" si="50"/>
        <v>0</v>
      </c>
      <c r="Y50" s="99">
        <f t="shared" si="50"/>
        <v>0</v>
      </c>
      <c r="Z50" s="99">
        <f t="shared" si="50"/>
        <v>0</v>
      </c>
      <c r="AA50" s="99">
        <f t="shared" si="50"/>
        <v>0</v>
      </c>
      <c r="AB50" s="99">
        <f t="shared" si="50"/>
        <v>6769</v>
      </c>
      <c r="AC50" s="99">
        <f t="shared" si="50"/>
        <v>0</v>
      </c>
      <c r="AD50" s="99">
        <f t="shared" si="50"/>
        <v>0</v>
      </c>
      <c r="AE50" s="99">
        <f t="shared" si="50"/>
        <v>0</v>
      </c>
      <c r="AF50" s="99">
        <f t="shared" si="50"/>
        <v>1000</v>
      </c>
      <c r="AG50" s="99">
        <f t="shared" si="50"/>
        <v>0</v>
      </c>
      <c r="AH50" s="99">
        <f t="shared" si="50"/>
        <v>0</v>
      </c>
      <c r="AI50" s="99">
        <f t="shared" si="50"/>
        <v>7769</v>
      </c>
      <c r="AJ50" s="99">
        <f t="shared" si="50"/>
        <v>0</v>
      </c>
      <c r="AK50" s="99">
        <f t="shared" si="50"/>
        <v>0</v>
      </c>
      <c r="AL50" s="99">
        <f t="shared" si="50"/>
        <v>7769</v>
      </c>
      <c r="AM50" s="99">
        <f t="shared" si="50"/>
        <v>0</v>
      </c>
      <c r="AN50" s="99">
        <f t="shared" si="50"/>
        <v>0</v>
      </c>
      <c r="AO50" s="99">
        <f t="shared" si="50"/>
        <v>0</v>
      </c>
      <c r="AP50" s="99">
        <f t="shared" si="50"/>
        <v>0</v>
      </c>
      <c r="AQ50" s="99">
        <f t="shared" si="50"/>
        <v>0</v>
      </c>
      <c r="AR50" s="99">
        <f t="shared" si="50"/>
        <v>7769</v>
      </c>
      <c r="AS50" s="99">
        <f t="shared" si="50"/>
        <v>0</v>
      </c>
      <c r="AT50" s="117">
        <f t="shared" si="50"/>
        <v>0</v>
      </c>
      <c r="AU50" s="117">
        <f t="shared" si="50"/>
        <v>0</v>
      </c>
      <c r="AV50" s="117">
        <f t="shared" si="50"/>
        <v>0</v>
      </c>
      <c r="AW50" s="117">
        <f t="shared" si="50"/>
        <v>7769</v>
      </c>
      <c r="AX50" s="117">
        <f t="shared" si="50"/>
        <v>0</v>
      </c>
      <c r="AY50" s="99">
        <f t="shared" si="50"/>
        <v>0</v>
      </c>
      <c r="AZ50" s="99">
        <f t="shared" si="50"/>
        <v>0</v>
      </c>
      <c r="BA50" s="99">
        <f t="shared" si="50"/>
        <v>490</v>
      </c>
      <c r="BB50" s="99">
        <f t="shared" si="50"/>
        <v>0</v>
      </c>
      <c r="BC50" s="99">
        <f t="shared" si="50"/>
        <v>0</v>
      </c>
      <c r="BD50" s="99">
        <f t="shared" si="50"/>
        <v>8259</v>
      </c>
      <c r="BE50" s="99">
        <f t="shared" si="50"/>
        <v>0</v>
      </c>
      <c r="BF50" s="99">
        <f t="shared" si="50"/>
        <v>0</v>
      </c>
      <c r="BG50" s="99">
        <f t="shared" si="50"/>
        <v>0</v>
      </c>
      <c r="BH50" s="99">
        <f t="shared" si="50"/>
        <v>0</v>
      </c>
      <c r="BI50" s="99">
        <f t="shared" si="50"/>
        <v>8259</v>
      </c>
      <c r="BJ50" s="99">
        <f t="shared" si="50"/>
        <v>0</v>
      </c>
      <c r="BK50" s="99">
        <f t="shared" si="50"/>
        <v>0</v>
      </c>
      <c r="BL50" s="99">
        <f t="shared" si="50"/>
        <v>0</v>
      </c>
      <c r="BM50" s="99">
        <f t="shared" si="50"/>
        <v>-2</v>
      </c>
      <c r="BN50" s="99">
        <f t="shared" si="50"/>
        <v>0</v>
      </c>
      <c r="BO50" s="99">
        <f t="shared" si="50"/>
        <v>8257</v>
      </c>
      <c r="BP50" s="99">
        <f t="shared" si="50"/>
        <v>0</v>
      </c>
      <c r="BQ50" s="99">
        <f t="shared" si="50"/>
        <v>0</v>
      </c>
      <c r="BR50" s="99"/>
      <c r="BS50" s="99">
        <f t="shared" si="50"/>
        <v>0</v>
      </c>
      <c r="BT50" s="99">
        <f t="shared" si="50"/>
        <v>0</v>
      </c>
      <c r="BU50" s="99">
        <f t="shared" si="50"/>
        <v>8257</v>
      </c>
      <c r="BV50" s="99">
        <f>BV51</f>
        <v>0</v>
      </c>
      <c r="BW50" s="99">
        <f t="shared" si="50"/>
        <v>8250</v>
      </c>
      <c r="BX50" s="99">
        <f>BX51</f>
        <v>0</v>
      </c>
      <c r="BY50" s="77">
        <f t="shared" si="48"/>
        <v>99.91522344677244</v>
      </c>
      <c r="BZ50" s="60"/>
    </row>
    <row r="51" spans="1:78" s="14" customFormat="1" ht="21.75" customHeight="1" hidden="1">
      <c r="A51" s="88" t="s">
        <v>244</v>
      </c>
      <c r="B51" s="89" t="s">
        <v>127</v>
      </c>
      <c r="C51" s="89" t="s">
        <v>143</v>
      </c>
      <c r="D51" s="90" t="s">
        <v>243</v>
      </c>
      <c r="E51" s="89" t="s">
        <v>245</v>
      </c>
      <c r="F51" s="99"/>
      <c r="G51" s="75">
        <f>H51-F51</f>
        <v>6769</v>
      </c>
      <c r="H51" s="100">
        <f>1769+5000</f>
        <v>6769</v>
      </c>
      <c r="I51" s="100"/>
      <c r="J51" s="100"/>
      <c r="K51" s="100"/>
      <c r="L51" s="100"/>
      <c r="M51" s="75">
        <f>H51+J51+K51+L51</f>
        <v>6769</v>
      </c>
      <c r="N51" s="78">
        <f>I51+L51</f>
        <v>0</v>
      </c>
      <c r="O51" s="100"/>
      <c r="P51" s="100"/>
      <c r="Q51" s="79"/>
      <c r="R51" s="79"/>
      <c r="S51" s="75">
        <f>M51+O51+P51+Q51+R51</f>
        <v>6769</v>
      </c>
      <c r="T51" s="75">
        <f>N51+R51</f>
        <v>0</v>
      </c>
      <c r="U51" s="79"/>
      <c r="V51" s="79"/>
      <c r="W51" s="79"/>
      <c r="X51" s="79"/>
      <c r="Y51" s="79"/>
      <c r="Z51" s="79"/>
      <c r="AA51" s="79"/>
      <c r="AB51" s="75">
        <f>S51+U51+V51+W51+X51+Y51+Z51+AA51</f>
        <v>6769</v>
      </c>
      <c r="AC51" s="80">
        <f>T51+Z51+AA51</f>
        <v>0</v>
      </c>
      <c r="AD51" s="80"/>
      <c r="AE51" s="80"/>
      <c r="AF51" s="75">
        <v>1000</v>
      </c>
      <c r="AG51" s="80"/>
      <c r="AH51" s="80"/>
      <c r="AI51" s="75">
        <f>AB51+AD51+AE51+AF51+AG51+AH51</f>
        <v>7769</v>
      </c>
      <c r="AJ51" s="75">
        <f>AC51+AH51</f>
        <v>0</v>
      </c>
      <c r="AK51" s="79"/>
      <c r="AL51" s="75">
        <f>AI51+AK51</f>
        <v>7769</v>
      </c>
      <c r="AM51" s="75">
        <f>AJ51</f>
        <v>0</v>
      </c>
      <c r="AN51" s="79"/>
      <c r="AO51" s="79"/>
      <c r="AP51" s="79"/>
      <c r="AQ51" s="79"/>
      <c r="AR51" s="75">
        <f>AL51+AN51+AO51+AP51+AQ51</f>
        <v>7769</v>
      </c>
      <c r="AS51" s="75">
        <f>AM51+AQ51</f>
        <v>0</v>
      </c>
      <c r="AT51" s="81"/>
      <c r="AU51" s="81"/>
      <c r="AV51" s="81"/>
      <c r="AW51" s="76">
        <f>AV51+AU51+AT51+AR51</f>
        <v>7769</v>
      </c>
      <c r="AX51" s="76">
        <f>AV51+AS51</f>
        <v>0</v>
      </c>
      <c r="AY51" s="75"/>
      <c r="AZ51" s="75"/>
      <c r="BA51" s="75">
        <v>490</v>
      </c>
      <c r="BB51" s="75"/>
      <c r="BC51" s="75"/>
      <c r="BD51" s="75">
        <f>AW51+AY51+AZ51+BA51+BB51+BC51</f>
        <v>8259</v>
      </c>
      <c r="BE51" s="75">
        <f>AX51+BC51</f>
        <v>0</v>
      </c>
      <c r="BF51" s="79"/>
      <c r="BG51" s="79"/>
      <c r="BH51" s="79"/>
      <c r="BI51" s="75">
        <f>BD51+BF51+BG51+BH51</f>
        <v>8259</v>
      </c>
      <c r="BJ51" s="75">
        <f>BE51+BH51</f>
        <v>0</v>
      </c>
      <c r="BK51" s="78"/>
      <c r="BL51" s="78"/>
      <c r="BM51" s="78">
        <v>-2</v>
      </c>
      <c r="BN51" s="78"/>
      <c r="BO51" s="75">
        <f>BI51+BK51+BL51+BM51+BN51</f>
        <v>8257</v>
      </c>
      <c r="BP51" s="75">
        <f>BJ51+BN51</f>
        <v>0</v>
      </c>
      <c r="BQ51" s="79"/>
      <c r="BR51" s="79"/>
      <c r="BS51" s="79"/>
      <c r="BT51" s="79"/>
      <c r="BU51" s="75">
        <f>BO51+BQ51+BS51+BT51</f>
        <v>8257</v>
      </c>
      <c r="BV51" s="75">
        <f>BP51+BT51</f>
        <v>0</v>
      </c>
      <c r="BW51" s="75">
        <v>8250</v>
      </c>
      <c r="BX51" s="75">
        <f>BR51+BV51</f>
        <v>0</v>
      </c>
      <c r="BY51" s="77">
        <f t="shared" si="48"/>
        <v>99.91522344677244</v>
      </c>
      <c r="BZ51" s="60"/>
    </row>
    <row r="52" spans="1:78" s="11" customFormat="1" ht="55.5" customHeight="1" hidden="1">
      <c r="A52" s="88" t="s">
        <v>28</v>
      </c>
      <c r="B52" s="89" t="s">
        <v>127</v>
      </c>
      <c r="C52" s="89" t="s">
        <v>143</v>
      </c>
      <c r="D52" s="90" t="s">
        <v>29</v>
      </c>
      <c r="E52" s="89"/>
      <c r="F52" s="75">
        <f>F53+F56+F57</f>
        <v>62699</v>
      </c>
      <c r="G52" s="75">
        <f>G53+G56+G57</f>
        <v>286965</v>
      </c>
      <c r="H52" s="75">
        <f>H53+H56+H57</f>
        <v>349664</v>
      </c>
      <c r="I52" s="75">
        <f aca="true" t="shared" si="51" ref="I52:AM52">I53+I56+I57</f>
        <v>0</v>
      </c>
      <c r="J52" s="75">
        <f t="shared" si="51"/>
        <v>30000</v>
      </c>
      <c r="K52" s="75">
        <f t="shared" si="51"/>
        <v>0</v>
      </c>
      <c r="L52" s="75">
        <f t="shared" si="51"/>
        <v>0</v>
      </c>
      <c r="M52" s="75">
        <f t="shared" si="51"/>
        <v>379664</v>
      </c>
      <c r="N52" s="75">
        <f t="shared" si="51"/>
        <v>0</v>
      </c>
      <c r="O52" s="75">
        <f t="shared" si="51"/>
        <v>0</v>
      </c>
      <c r="P52" s="75"/>
      <c r="Q52" s="75">
        <f t="shared" si="51"/>
        <v>0</v>
      </c>
      <c r="R52" s="75">
        <f t="shared" si="51"/>
        <v>0</v>
      </c>
      <c r="S52" s="75">
        <f t="shared" si="51"/>
        <v>379664</v>
      </c>
      <c r="T52" s="75">
        <f t="shared" si="51"/>
        <v>0</v>
      </c>
      <c r="U52" s="75">
        <f t="shared" si="51"/>
        <v>0</v>
      </c>
      <c r="V52" s="75">
        <f t="shared" si="51"/>
        <v>0</v>
      </c>
      <c r="W52" s="75">
        <f t="shared" si="51"/>
        <v>0</v>
      </c>
      <c r="X52" s="75">
        <f t="shared" si="51"/>
        <v>0</v>
      </c>
      <c r="Y52" s="75">
        <f t="shared" si="51"/>
        <v>0</v>
      </c>
      <c r="Z52" s="75">
        <f t="shared" si="51"/>
        <v>0</v>
      </c>
      <c r="AA52" s="75">
        <f t="shared" si="51"/>
        <v>0</v>
      </c>
      <c r="AB52" s="75">
        <f t="shared" si="51"/>
        <v>379664</v>
      </c>
      <c r="AC52" s="75">
        <f t="shared" si="51"/>
        <v>0</v>
      </c>
      <c r="AD52" s="75">
        <f t="shared" si="51"/>
        <v>-196</v>
      </c>
      <c r="AE52" s="75">
        <f t="shared" si="51"/>
        <v>-56467</v>
      </c>
      <c r="AF52" s="75">
        <f t="shared" si="51"/>
        <v>-134225</v>
      </c>
      <c r="AG52" s="75">
        <f t="shared" si="51"/>
        <v>0</v>
      </c>
      <c r="AH52" s="75">
        <f t="shared" si="51"/>
        <v>0</v>
      </c>
      <c r="AI52" s="75">
        <f t="shared" si="51"/>
        <v>188776</v>
      </c>
      <c r="AJ52" s="75">
        <f t="shared" si="51"/>
        <v>0</v>
      </c>
      <c r="AK52" s="75">
        <f t="shared" si="51"/>
        <v>-30000</v>
      </c>
      <c r="AL52" s="75">
        <f t="shared" si="51"/>
        <v>158776</v>
      </c>
      <c r="AM52" s="75">
        <f t="shared" si="51"/>
        <v>0</v>
      </c>
      <c r="AN52" s="75">
        <f aca="true" t="shared" si="52" ref="AN52:AS52">AN53+AN56+AN57+AN54</f>
        <v>-183</v>
      </c>
      <c r="AO52" s="75">
        <f t="shared" si="52"/>
        <v>-44433</v>
      </c>
      <c r="AP52" s="75">
        <f t="shared" si="52"/>
        <v>-132</v>
      </c>
      <c r="AQ52" s="75">
        <f t="shared" si="52"/>
        <v>0</v>
      </c>
      <c r="AR52" s="75">
        <f t="shared" si="52"/>
        <v>114028</v>
      </c>
      <c r="AS52" s="75">
        <f t="shared" si="52"/>
        <v>0</v>
      </c>
      <c r="AT52" s="76">
        <f>AT53+AT56+AT57+AT54</f>
        <v>0</v>
      </c>
      <c r="AU52" s="76">
        <f>AU53+AU56+AU57+AU54</f>
        <v>0</v>
      </c>
      <c r="AV52" s="76">
        <f>AV53+AV56+AV57+AV54</f>
        <v>0</v>
      </c>
      <c r="AW52" s="76">
        <f>AW53+AW56+AW57+AW54</f>
        <v>114028</v>
      </c>
      <c r="AX52" s="76">
        <f aca="true" t="shared" si="53" ref="AX52:BV52">AX53+AX56+AX57+AX54</f>
        <v>0</v>
      </c>
      <c r="AY52" s="75">
        <f t="shared" si="53"/>
        <v>-9822</v>
      </c>
      <c r="AZ52" s="75">
        <f t="shared" si="53"/>
        <v>0</v>
      </c>
      <c r="BA52" s="75">
        <f t="shared" si="53"/>
        <v>2000</v>
      </c>
      <c r="BB52" s="75">
        <f t="shared" si="53"/>
        <v>5013</v>
      </c>
      <c r="BC52" s="75">
        <f t="shared" si="53"/>
        <v>0</v>
      </c>
      <c r="BD52" s="75">
        <f t="shared" si="53"/>
        <v>111219</v>
      </c>
      <c r="BE52" s="75">
        <f t="shared" si="53"/>
        <v>0</v>
      </c>
      <c r="BF52" s="75">
        <f t="shared" si="53"/>
        <v>0</v>
      </c>
      <c r="BG52" s="75">
        <f t="shared" si="53"/>
        <v>0</v>
      </c>
      <c r="BH52" s="75">
        <f t="shared" si="53"/>
        <v>0</v>
      </c>
      <c r="BI52" s="75">
        <f t="shared" si="53"/>
        <v>111219</v>
      </c>
      <c r="BJ52" s="75">
        <f t="shared" si="53"/>
        <v>0</v>
      </c>
      <c r="BK52" s="75">
        <f t="shared" si="53"/>
        <v>-9906</v>
      </c>
      <c r="BL52" s="75">
        <f t="shared" si="53"/>
        <v>-18</v>
      </c>
      <c r="BM52" s="75">
        <f t="shared" si="53"/>
        <v>-2402</v>
      </c>
      <c r="BN52" s="75">
        <f t="shared" si="53"/>
        <v>0</v>
      </c>
      <c r="BO52" s="75">
        <f t="shared" si="53"/>
        <v>98893</v>
      </c>
      <c r="BP52" s="75">
        <f t="shared" si="53"/>
        <v>0</v>
      </c>
      <c r="BQ52" s="75">
        <f t="shared" si="53"/>
        <v>-104</v>
      </c>
      <c r="BR52" s="75">
        <f t="shared" si="53"/>
        <v>1080</v>
      </c>
      <c r="BS52" s="75">
        <f t="shared" si="53"/>
        <v>1060</v>
      </c>
      <c r="BT52" s="75">
        <f t="shared" si="53"/>
        <v>0</v>
      </c>
      <c r="BU52" s="75">
        <f t="shared" si="53"/>
        <v>100929</v>
      </c>
      <c r="BV52" s="75">
        <f t="shared" si="53"/>
        <v>0</v>
      </c>
      <c r="BW52" s="75">
        <f>BW53+BW56+BW57+BW54</f>
        <v>96682</v>
      </c>
      <c r="BX52" s="75">
        <f>BX53+BX56+BX57+BX54</f>
        <v>0</v>
      </c>
      <c r="BY52" s="77">
        <f t="shared" si="48"/>
        <v>95.79209147024146</v>
      </c>
      <c r="BZ52" s="60"/>
    </row>
    <row r="53" spans="1:78" s="16" customFormat="1" ht="69.75" customHeight="1" hidden="1">
      <c r="A53" s="88" t="s">
        <v>138</v>
      </c>
      <c r="B53" s="89" t="s">
        <v>127</v>
      </c>
      <c r="C53" s="89" t="s">
        <v>143</v>
      </c>
      <c r="D53" s="90" t="s">
        <v>29</v>
      </c>
      <c r="E53" s="89" t="s">
        <v>139</v>
      </c>
      <c r="F53" s="75">
        <v>38699</v>
      </c>
      <c r="G53" s="75">
        <f>H53-F53</f>
        <v>165462</v>
      </c>
      <c r="H53" s="75">
        <f>200+402+28605+9662+152152+20904+1123-3887-5000</f>
        <v>204161</v>
      </c>
      <c r="I53" s="94"/>
      <c r="J53" s="94"/>
      <c r="K53" s="94"/>
      <c r="L53" s="94"/>
      <c r="M53" s="75">
        <f>H53+J53+K53+L53</f>
        <v>204161</v>
      </c>
      <c r="N53" s="78">
        <f>I53+L53</f>
        <v>0</v>
      </c>
      <c r="O53" s="94"/>
      <c r="P53" s="94"/>
      <c r="Q53" s="94"/>
      <c r="R53" s="94"/>
      <c r="S53" s="75">
        <f>M53+O53+P53+Q53+R53</f>
        <v>204161</v>
      </c>
      <c r="T53" s="75">
        <f>N53+R53</f>
        <v>0</v>
      </c>
      <c r="U53" s="75"/>
      <c r="V53" s="75"/>
      <c r="W53" s="94"/>
      <c r="X53" s="75"/>
      <c r="Y53" s="94"/>
      <c r="Z53" s="94"/>
      <c r="AA53" s="94"/>
      <c r="AB53" s="75">
        <f>S53+U53+V53+W53+X53+Y53+Z53+AA53</f>
        <v>204161</v>
      </c>
      <c r="AC53" s="80">
        <f>T53+Z53+AA53</f>
        <v>0</v>
      </c>
      <c r="AD53" s="75">
        <f>-193-3</f>
        <v>-196</v>
      </c>
      <c r="AE53" s="75">
        <f>-54090-2377</f>
        <v>-56467</v>
      </c>
      <c r="AF53" s="75">
        <f>-5948-562-41000-8600+562</f>
        <v>-55548</v>
      </c>
      <c r="AG53" s="95"/>
      <c r="AH53" s="95"/>
      <c r="AI53" s="75">
        <f>AB53+AD53+AE53+AF53+AG53+AH53</f>
        <v>91950</v>
      </c>
      <c r="AJ53" s="75">
        <f>AC53+AH53</f>
        <v>0</v>
      </c>
      <c r="AK53" s="94"/>
      <c r="AL53" s="75">
        <f>AI53+AK53</f>
        <v>91950</v>
      </c>
      <c r="AM53" s="75">
        <f>AJ53</f>
        <v>0</v>
      </c>
      <c r="AN53" s="75">
        <v>-5034</v>
      </c>
      <c r="AO53" s="75">
        <v>-44433</v>
      </c>
      <c r="AP53" s="75">
        <v>-132</v>
      </c>
      <c r="AQ53" s="94"/>
      <c r="AR53" s="75">
        <f>AL53+AN53+AO53+AP53+AQ53</f>
        <v>42351</v>
      </c>
      <c r="AS53" s="75">
        <f>AM53+AQ53</f>
        <v>0</v>
      </c>
      <c r="AT53" s="97"/>
      <c r="AU53" s="97"/>
      <c r="AV53" s="97"/>
      <c r="AW53" s="76">
        <f>AV53+AU53+AT53+AR53</f>
        <v>42351</v>
      </c>
      <c r="AX53" s="76">
        <f>AV53+AS53</f>
        <v>0</v>
      </c>
      <c r="AY53" s="75">
        <f>-35-5980-421-873</f>
        <v>-7309</v>
      </c>
      <c r="AZ53" s="96"/>
      <c r="BA53" s="75">
        <v>2000</v>
      </c>
      <c r="BB53" s="75">
        <v>2500</v>
      </c>
      <c r="BC53" s="96"/>
      <c r="BD53" s="75">
        <f>AW53+AY53+AZ53+BA53+BB53+BC53</f>
        <v>39542</v>
      </c>
      <c r="BE53" s="75">
        <f>AX53+BC53</f>
        <v>0</v>
      </c>
      <c r="BF53" s="75"/>
      <c r="BG53" s="94"/>
      <c r="BH53" s="94"/>
      <c r="BI53" s="75">
        <f>BD53+BF53+BG53+BH53</f>
        <v>39542</v>
      </c>
      <c r="BJ53" s="75">
        <f>BE53+BH53</f>
        <v>0</v>
      </c>
      <c r="BK53" s="75">
        <f>-9859-47</f>
        <v>-9906</v>
      </c>
      <c r="BL53" s="78">
        <v>-18</v>
      </c>
      <c r="BM53" s="75">
        <f>-35-2315-29-23</f>
        <v>-2402</v>
      </c>
      <c r="BN53" s="98"/>
      <c r="BO53" s="75">
        <f>BI53+BK53+BL53+BM53+BN53</f>
        <v>27216</v>
      </c>
      <c r="BP53" s="75">
        <f>BJ53+BN53</f>
        <v>0</v>
      </c>
      <c r="BQ53" s="78">
        <f>-1-103</f>
        <v>-104</v>
      </c>
      <c r="BR53" s="75">
        <v>1080</v>
      </c>
      <c r="BS53" s="75">
        <v>60</v>
      </c>
      <c r="BT53" s="94"/>
      <c r="BU53" s="75">
        <f>BO53+BQ53+BR53+BS53+BT53</f>
        <v>28252</v>
      </c>
      <c r="BV53" s="75">
        <f>BP53+BT53</f>
        <v>0</v>
      </c>
      <c r="BW53" s="75">
        <v>24067</v>
      </c>
      <c r="BX53" s="75"/>
      <c r="BY53" s="77">
        <f t="shared" si="48"/>
        <v>85.1868894237576</v>
      </c>
      <c r="BZ53" s="60"/>
    </row>
    <row r="54" spans="1:78" s="16" customFormat="1" ht="117" customHeight="1" hidden="1">
      <c r="A54" s="88" t="s">
        <v>332</v>
      </c>
      <c r="B54" s="89" t="s">
        <v>127</v>
      </c>
      <c r="C54" s="89" t="s">
        <v>143</v>
      </c>
      <c r="D54" s="90" t="s">
        <v>331</v>
      </c>
      <c r="E54" s="89"/>
      <c r="F54" s="75"/>
      <c r="G54" s="75"/>
      <c r="H54" s="75"/>
      <c r="I54" s="94"/>
      <c r="J54" s="94"/>
      <c r="K54" s="94"/>
      <c r="L54" s="94"/>
      <c r="M54" s="75"/>
      <c r="N54" s="78"/>
      <c r="O54" s="94"/>
      <c r="P54" s="94"/>
      <c r="Q54" s="94"/>
      <c r="R54" s="94"/>
      <c r="S54" s="75"/>
      <c r="T54" s="75"/>
      <c r="U54" s="75"/>
      <c r="V54" s="75"/>
      <c r="W54" s="94"/>
      <c r="X54" s="75"/>
      <c r="Y54" s="94"/>
      <c r="Z54" s="94"/>
      <c r="AA54" s="94"/>
      <c r="AB54" s="75"/>
      <c r="AC54" s="80"/>
      <c r="AD54" s="75"/>
      <c r="AE54" s="75"/>
      <c r="AF54" s="75"/>
      <c r="AG54" s="95"/>
      <c r="AH54" s="95"/>
      <c r="AI54" s="75"/>
      <c r="AJ54" s="75"/>
      <c r="AK54" s="94"/>
      <c r="AL54" s="75"/>
      <c r="AM54" s="75"/>
      <c r="AN54" s="75">
        <f aca="true" t="shared" si="54" ref="AN54:BX54">AN55</f>
        <v>5034</v>
      </c>
      <c r="AO54" s="118">
        <f t="shared" si="54"/>
        <v>0</v>
      </c>
      <c r="AP54" s="118">
        <f t="shared" si="54"/>
        <v>0</v>
      </c>
      <c r="AQ54" s="118">
        <f t="shared" si="54"/>
        <v>0</v>
      </c>
      <c r="AR54" s="75">
        <f t="shared" si="54"/>
        <v>5034</v>
      </c>
      <c r="AS54" s="118">
        <f t="shared" si="54"/>
        <v>0</v>
      </c>
      <c r="AT54" s="119">
        <f t="shared" si="54"/>
        <v>0</v>
      </c>
      <c r="AU54" s="119">
        <f t="shared" si="54"/>
        <v>0</v>
      </c>
      <c r="AV54" s="119">
        <f t="shared" si="54"/>
        <v>0</v>
      </c>
      <c r="AW54" s="81">
        <f t="shared" si="54"/>
        <v>5034</v>
      </c>
      <c r="AX54" s="81">
        <f t="shared" si="54"/>
        <v>0</v>
      </c>
      <c r="AY54" s="75">
        <f t="shared" si="54"/>
        <v>-2513</v>
      </c>
      <c r="AZ54" s="75">
        <f t="shared" si="54"/>
        <v>0</v>
      </c>
      <c r="BA54" s="75">
        <f t="shared" si="54"/>
        <v>0</v>
      </c>
      <c r="BB54" s="75">
        <f t="shared" si="54"/>
        <v>2513</v>
      </c>
      <c r="BC54" s="75">
        <f t="shared" si="54"/>
        <v>0</v>
      </c>
      <c r="BD54" s="75">
        <f t="shared" si="54"/>
        <v>5034</v>
      </c>
      <c r="BE54" s="75">
        <f t="shared" si="54"/>
        <v>0</v>
      </c>
      <c r="BF54" s="75">
        <f t="shared" si="54"/>
        <v>0</v>
      </c>
      <c r="BG54" s="75">
        <f t="shared" si="54"/>
        <v>0</v>
      </c>
      <c r="BH54" s="75">
        <f t="shared" si="54"/>
        <v>0</v>
      </c>
      <c r="BI54" s="75">
        <f t="shared" si="54"/>
        <v>5034</v>
      </c>
      <c r="BJ54" s="75">
        <f t="shared" si="54"/>
        <v>0</v>
      </c>
      <c r="BK54" s="75">
        <f t="shared" si="54"/>
        <v>0</v>
      </c>
      <c r="BL54" s="75">
        <f t="shared" si="54"/>
        <v>0</v>
      </c>
      <c r="BM54" s="75">
        <f t="shared" si="54"/>
        <v>0</v>
      </c>
      <c r="BN54" s="75">
        <f t="shared" si="54"/>
        <v>0</v>
      </c>
      <c r="BO54" s="75">
        <f t="shared" si="54"/>
        <v>5034</v>
      </c>
      <c r="BP54" s="75">
        <f t="shared" si="54"/>
        <v>0</v>
      </c>
      <c r="BQ54" s="75">
        <f t="shared" si="54"/>
        <v>0</v>
      </c>
      <c r="BR54" s="75"/>
      <c r="BS54" s="75">
        <f t="shared" si="54"/>
        <v>0</v>
      </c>
      <c r="BT54" s="75">
        <f t="shared" si="54"/>
        <v>0</v>
      </c>
      <c r="BU54" s="75">
        <f t="shared" si="54"/>
        <v>5034</v>
      </c>
      <c r="BV54" s="75">
        <f t="shared" si="54"/>
        <v>0</v>
      </c>
      <c r="BW54" s="75">
        <f t="shared" si="54"/>
        <v>4966</v>
      </c>
      <c r="BX54" s="75">
        <f t="shared" si="54"/>
        <v>0</v>
      </c>
      <c r="BY54" s="77">
        <f t="shared" si="48"/>
        <v>98.6491855383393</v>
      </c>
      <c r="BZ54" s="60"/>
    </row>
    <row r="55" spans="1:78" s="16" customFormat="1" ht="99.75" customHeight="1" hidden="1">
      <c r="A55" s="88" t="s">
        <v>359</v>
      </c>
      <c r="B55" s="89" t="s">
        <v>127</v>
      </c>
      <c r="C55" s="89" t="s">
        <v>143</v>
      </c>
      <c r="D55" s="90" t="s">
        <v>331</v>
      </c>
      <c r="E55" s="89" t="s">
        <v>145</v>
      </c>
      <c r="F55" s="75"/>
      <c r="G55" s="75"/>
      <c r="H55" s="75"/>
      <c r="I55" s="94"/>
      <c r="J55" s="94"/>
      <c r="K55" s="94"/>
      <c r="L55" s="94"/>
      <c r="M55" s="75"/>
      <c r="N55" s="78"/>
      <c r="O55" s="94"/>
      <c r="P55" s="94"/>
      <c r="Q55" s="94"/>
      <c r="R55" s="94"/>
      <c r="S55" s="75"/>
      <c r="T55" s="75"/>
      <c r="U55" s="75"/>
      <c r="V55" s="75"/>
      <c r="W55" s="94"/>
      <c r="X55" s="75"/>
      <c r="Y55" s="94"/>
      <c r="Z55" s="94"/>
      <c r="AA55" s="94"/>
      <c r="AB55" s="75"/>
      <c r="AC55" s="80"/>
      <c r="AD55" s="75"/>
      <c r="AE55" s="75"/>
      <c r="AF55" s="75"/>
      <c r="AG55" s="95"/>
      <c r="AH55" s="95"/>
      <c r="AI55" s="75"/>
      <c r="AJ55" s="75"/>
      <c r="AK55" s="94"/>
      <c r="AL55" s="75"/>
      <c r="AM55" s="75"/>
      <c r="AN55" s="75">
        <v>5034</v>
      </c>
      <c r="AO55" s="75"/>
      <c r="AP55" s="75"/>
      <c r="AQ55" s="94"/>
      <c r="AR55" s="75">
        <f>AL55+AN55+AO55+AP55+AQ55</f>
        <v>5034</v>
      </c>
      <c r="AS55" s="75">
        <f>AM55+AQ55</f>
        <v>0</v>
      </c>
      <c r="AT55" s="97"/>
      <c r="AU55" s="97"/>
      <c r="AV55" s="97"/>
      <c r="AW55" s="76">
        <f>AV55+AU55+AT55+AR55</f>
        <v>5034</v>
      </c>
      <c r="AX55" s="76">
        <f>AV55+AS55</f>
        <v>0</v>
      </c>
      <c r="AY55" s="75">
        <v>-2513</v>
      </c>
      <c r="AZ55" s="96"/>
      <c r="BA55" s="96"/>
      <c r="BB55" s="75">
        <v>2513</v>
      </c>
      <c r="BC55" s="96"/>
      <c r="BD55" s="75">
        <f>AW55+AY55+AZ55+BA55+BB55+BC55</f>
        <v>5034</v>
      </c>
      <c r="BE55" s="75">
        <f>AX55+BC55</f>
        <v>0</v>
      </c>
      <c r="BF55" s="94"/>
      <c r="BG55" s="94"/>
      <c r="BH55" s="94"/>
      <c r="BI55" s="75">
        <f>BD55+BF55+BG55+BH55</f>
        <v>5034</v>
      </c>
      <c r="BJ55" s="75">
        <f>BE55+BH55</f>
        <v>0</v>
      </c>
      <c r="BK55" s="98"/>
      <c r="BL55" s="98"/>
      <c r="BM55" s="98"/>
      <c r="BN55" s="98"/>
      <c r="BO55" s="75">
        <f>BI55+BK55+BL55+BM55+BN55</f>
        <v>5034</v>
      </c>
      <c r="BP55" s="75">
        <f>BJ55+BN55</f>
        <v>0</v>
      </c>
      <c r="BQ55" s="94"/>
      <c r="BR55" s="94"/>
      <c r="BS55" s="94"/>
      <c r="BT55" s="94"/>
      <c r="BU55" s="75">
        <f>BO55+BQ55+BS55+BT55</f>
        <v>5034</v>
      </c>
      <c r="BV55" s="75">
        <f>BP55+BT55</f>
        <v>0</v>
      </c>
      <c r="BW55" s="75">
        <v>4966</v>
      </c>
      <c r="BX55" s="75">
        <f>BR55+BV55</f>
        <v>0</v>
      </c>
      <c r="BY55" s="77">
        <f t="shared" si="48"/>
        <v>98.6491855383393</v>
      </c>
      <c r="BZ55" s="60"/>
    </row>
    <row r="56" spans="1:78" s="16" customFormat="1" ht="122.25" customHeight="1" hidden="1">
      <c r="A56" s="88" t="s">
        <v>146</v>
      </c>
      <c r="B56" s="89" t="s">
        <v>127</v>
      </c>
      <c r="C56" s="89" t="s">
        <v>143</v>
      </c>
      <c r="D56" s="90" t="s">
        <v>29</v>
      </c>
      <c r="E56" s="89" t="s">
        <v>147</v>
      </c>
      <c r="F56" s="75">
        <v>24000</v>
      </c>
      <c r="G56" s="75">
        <f>H56-F56</f>
        <v>15000</v>
      </c>
      <c r="H56" s="75">
        <f>54000-15000</f>
        <v>39000</v>
      </c>
      <c r="I56" s="94"/>
      <c r="J56" s="94"/>
      <c r="K56" s="94"/>
      <c r="L56" s="94"/>
      <c r="M56" s="75">
        <f>H56+J56+K56+L56</f>
        <v>39000</v>
      </c>
      <c r="N56" s="78">
        <f>I56+L56</f>
        <v>0</v>
      </c>
      <c r="O56" s="94"/>
      <c r="P56" s="94"/>
      <c r="Q56" s="94"/>
      <c r="R56" s="94"/>
      <c r="S56" s="75">
        <f>M56+O56+P56+Q56+R56</f>
        <v>39000</v>
      </c>
      <c r="T56" s="75">
        <f>N56+R56</f>
        <v>0</v>
      </c>
      <c r="U56" s="94"/>
      <c r="V56" s="94"/>
      <c r="W56" s="94"/>
      <c r="X56" s="75"/>
      <c r="Y56" s="94"/>
      <c r="Z56" s="94"/>
      <c r="AA56" s="94"/>
      <c r="AB56" s="75">
        <f>S56+U56+V56+W56+X56+Y56+Z56+AA56</f>
        <v>39000</v>
      </c>
      <c r="AC56" s="80">
        <f>T56+Z56+AA56</f>
        <v>0</v>
      </c>
      <c r="AD56" s="95"/>
      <c r="AE56" s="95"/>
      <c r="AF56" s="75">
        <v>-5000</v>
      </c>
      <c r="AG56" s="95"/>
      <c r="AH56" s="95"/>
      <c r="AI56" s="75">
        <f>AB56+AD56+AE56+AF56+AG56+AH56</f>
        <v>34000</v>
      </c>
      <c r="AJ56" s="75">
        <f>AC56+AH56</f>
        <v>0</v>
      </c>
      <c r="AK56" s="94"/>
      <c r="AL56" s="75">
        <f>AI56+AK56</f>
        <v>34000</v>
      </c>
      <c r="AM56" s="75">
        <f>AJ56</f>
        <v>0</v>
      </c>
      <c r="AN56" s="78">
        <v>-183</v>
      </c>
      <c r="AO56" s="78"/>
      <c r="AP56" s="94"/>
      <c r="AQ56" s="94"/>
      <c r="AR56" s="75">
        <f>AL56+AN56+AO56+AP56+AQ56</f>
        <v>33817</v>
      </c>
      <c r="AS56" s="75">
        <f>AM56+AQ56</f>
        <v>0</v>
      </c>
      <c r="AT56" s="97"/>
      <c r="AU56" s="97"/>
      <c r="AV56" s="97"/>
      <c r="AW56" s="76">
        <f>AV56+AU56+AT56+AR56</f>
        <v>33817</v>
      </c>
      <c r="AX56" s="76">
        <f>AV56+AS56</f>
        <v>0</v>
      </c>
      <c r="AY56" s="96"/>
      <c r="AZ56" s="96"/>
      <c r="BA56" s="96"/>
      <c r="BB56" s="96"/>
      <c r="BC56" s="96"/>
      <c r="BD56" s="75">
        <f>AW56+AY56+AZ56+BA56+BB56+BC56</f>
        <v>33817</v>
      </c>
      <c r="BE56" s="75">
        <f>AX56+BC56</f>
        <v>0</v>
      </c>
      <c r="BF56" s="94"/>
      <c r="BG56" s="94"/>
      <c r="BH56" s="94"/>
      <c r="BI56" s="75">
        <f>BD56+BF56+BG56+BH56</f>
        <v>33817</v>
      </c>
      <c r="BJ56" s="75">
        <f>BE56+BH56</f>
        <v>0</v>
      </c>
      <c r="BK56" s="98"/>
      <c r="BL56" s="98"/>
      <c r="BM56" s="98"/>
      <c r="BN56" s="98"/>
      <c r="BO56" s="75">
        <f>BI56+BK56+BL56+BM56+BN56</f>
        <v>33817</v>
      </c>
      <c r="BP56" s="75">
        <f>BJ56+BN56</f>
        <v>0</v>
      </c>
      <c r="BQ56" s="94"/>
      <c r="BR56" s="94"/>
      <c r="BS56" s="75">
        <v>1000</v>
      </c>
      <c r="BT56" s="94"/>
      <c r="BU56" s="75">
        <f>BO56+BQ56+BS56+BT56</f>
        <v>34817</v>
      </c>
      <c r="BV56" s="75">
        <f>BP56+BT56</f>
        <v>0</v>
      </c>
      <c r="BW56" s="75">
        <v>34824</v>
      </c>
      <c r="BX56" s="75">
        <f>BR56+BV56</f>
        <v>0</v>
      </c>
      <c r="BY56" s="77">
        <f t="shared" si="48"/>
        <v>100.02010512106155</v>
      </c>
      <c r="BZ56" s="60"/>
    </row>
    <row r="57" spans="1:78" s="16" customFormat="1" ht="16.5" customHeight="1" hidden="1">
      <c r="A57" s="88" t="s">
        <v>244</v>
      </c>
      <c r="B57" s="89" t="s">
        <v>127</v>
      </c>
      <c r="C57" s="89" t="s">
        <v>143</v>
      </c>
      <c r="D57" s="90" t="s">
        <v>29</v>
      </c>
      <c r="E57" s="89" t="s">
        <v>245</v>
      </c>
      <c r="F57" s="75"/>
      <c r="G57" s="75">
        <f>H57-F57</f>
        <v>106503</v>
      </c>
      <c r="H57" s="75">
        <f>54233+52270</f>
        <v>106503</v>
      </c>
      <c r="I57" s="94"/>
      <c r="J57" s="75">
        <v>30000</v>
      </c>
      <c r="K57" s="94"/>
      <c r="L57" s="94"/>
      <c r="M57" s="75">
        <f>H57+J57+K57+L57</f>
        <v>136503</v>
      </c>
      <c r="N57" s="78">
        <f>I57+L57</f>
        <v>0</v>
      </c>
      <c r="O57" s="94"/>
      <c r="P57" s="94"/>
      <c r="Q57" s="94"/>
      <c r="R57" s="94"/>
      <c r="S57" s="75">
        <f>M57+O57+P57+Q57+R57</f>
        <v>136503</v>
      </c>
      <c r="T57" s="75">
        <f>N57+R57</f>
        <v>0</v>
      </c>
      <c r="U57" s="94"/>
      <c r="V57" s="94"/>
      <c r="W57" s="94"/>
      <c r="X57" s="75"/>
      <c r="Y57" s="94"/>
      <c r="Z57" s="94"/>
      <c r="AA57" s="94"/>
      <c r="AB57" s="75">
        <f>S57+U57+V57+W57+X57+Y57+Z57+AA57</f>
        <v>136503</v>
      </c>
      <c r="AC57" s="80">
        <f>T57+Z57+AA57</f>
        <v>0</v>
      </c>
      <c r="AD57" s="95"/>
      <c r="AE57" s="95"/>
      <c r="AF57" s="75">
        <v>-73677</v>
      </c>
      <c r="AG57" s="95"/>
      <c r="AH57" s="95"/>
      <c r="AI57" s="75">
        <f>AB57+AD57+AE57+AF57+AG57+AH57</f>
        <v>62826</v>
      </c>
      <c r="AJ57" s="75">
        <f>AC57+AH57</f>
        <v>0</v>
      </c>
      <c r="AK57" s="75">
        <v>-30000</v>
      </c>
      <c r="AL57" s="75">
        <f>AI57+AK57</f>
        <v>32826</v>
      </c>
      <c r="AM57" s="75">
        <f>AJ57</f>
        <v>0</v>
      </c>
      <c r="AN57" s="94"/>
      <c r="AO57" s="94"/>
      <c r="AP57" s="94"/>
      <c r="AQ57" s="94"/>
      <c r="AR57" s="75">
        <f>AL57+AN57+AO57+AP57+AQ57</f>
        <v>32826</v>
      </c>
      <c r="AS57" s="75">
        <f>AM57+AQ57</f>
        <v>0</v>
      </c>
      <c r="AT57" s="97"/>
      <c r="AU57" s="97"/>
      <c r="AV57" s="97"/>
      <c r="AW57" s="76">
        <f>AV57+AU57+AT57+AR57</f>
        <v>32826</v>
      </c>
      <c r="AX57" s="76">
        <f>AV57+AS57</f>
        <v>0</v>
      </c>
      <c r="AY57" s="96"/>
      <c r="AZ57" s="96"/>
      <c r="BA57" s="96"/>
      <c r="BB57" s="96"/>
      <c r="BC57" s="96"/>
      <c r="BD57" s="75">
        <f>AW57+AY57+AZ57+BA57+BB57+BC57</f>
        <v>32826</v>
      </c>
      <c r="BE57" s="75">
        <f>AX57+BC57</f>
        <v>0</v>
      </c>
      <c r="BF57" s="94"/>
      <c r="BG57" s="94"/>
      <c r="BH57" s="94"/>
      <c r="BI57" s="75">
        <f>BD57+BF57+BG57+BH57</f>
        <v>32826</v>
      </c>
      <c r="BJ57" s="75">
        <f>BE57+BH57</f>
        <v>0</v>
      </c>
      <c r="BK57" s="98"/>
      <c r="BL57" s="98"/>
      <c r="BM57" s="98"/>
      <c r="BN57" s="98"/>
      <c r="BO57" s="75">
        <f>BI57+BK57+BL57+BM57+BN57</f>
        <v>32826</v>
      </c>
      <c r="BP57" s="75">
        <f>BJ57+BN57</f>
        <v>0</v>
      </c>
      <c r="BQ57" s="94"/>
      <c r="BR57" s="94"/>
      <c r="BS57" s="94"/>
      <c r="BT57" s="94"/>
      <c r="BU57" s="75">
        <f>BO57+BQ57+BS57+BT57</f>
        <v>32826</v>
      </c>
      <c r="BV57" s="75">
        <f>BP57+BT57</f>
        <v>0</v>
      </c>
      <c r="BW57" s="75">
        <v>32825</v>
      </c>
      <c r="BX57" s="75">
        <f>BR57+BV57</f>
        <v>0</v>
      </c>
      <c r="BY57" s="77">
        <f t="shared" si="48"/>
        <v>99.99695363431427</v>
      </c>
      <c r="BZ57" s="60"/>
    </row>
    <row r="58" spans="1:78" s="16" customFormat="1" ht="40.5" customHeight="1" hidden="1">
      <c r="A58" s="88" t="s">
        <v>121</v>
      </c>
      <c r="B58" s="89" t="s">
        <v>127</v>
      </c>
      <c r="C58" s="89" t="s">
        <v>143</v>
      </c>
      <c r="D58" s="90" t="s">
        <v>122</v>
      </c>
      <c r="E58" s="89"/>
      <c r="F58" s="75">
        <f>F59</f>
        <v>7458</v>
      </c>
      <c r="G58" s="75">
        <f>G59</f>
        <v>11370</v>
      </c>
      <c r="H58" s="75">
        <f>H59</f>
        <v>18828</v>
      </c>
      <c r="I58" s="75">
        <f aca="true" t="shared" si="55" ref="I58:BW58">I59</f>
        <v>0</v>
      </c>
      <c r="J58" s="75">
        <f t="shared" si="55"/>
        <v>0</v>
      </c>
      <c r="K58" s="75">
        <f t="shared" si="55"/>
        <v>0</v>
      </c>
      <c r="L58" s="75">
        <f t="shared" si="55"/>
        <v>0</v>
      </c>
      <c r="M58" s="75">
        <f t="shared" si="55"/>
        <v>18828</v>
      </c>
      <c r="N58" s="75">
        <f t="shared" si="55"/>
        <v>0</v>
      </c>
      <c r="O58" s="75">
        <f t="shared" si="55"/>
        <v>0</v>
      </c>
      <c r="P58" s="75"/>
      <c r="Q58" s="75">
        <f t="shared" si="55"/>
        <v>0</v>
      </c>
      <c r="R58" s="75">
        <f t="shared" si="55"/>
        <v>0</v>
      </c>
      <c r="S58" s="75">
        <f t="shared" si="55"/>
        <v>18828</v>
      </c>
      <c r="T58" s="75">
        <f t="shared" si="55"/>
        <v>0</v>
      </c>
      <c r="U58" s="75">
        <f t="shared" si="55"/>
        <v>0</v>
      </c>
      <c r="V58" s="75">
        <f t="shared" si="55"/>
        <v>0</v>
      </c>
      <c r="W58" s="75">
        <f t="shared" si="55"/>
        <v>0</v>
      </c>
      <c r="X58" s="75">
        <f t="shared" si="55"/>
        <v>0</v>
      </c>
      <c r="Y58" s="75">
        <f t="shared" si="55"/>
        <v>0</v>
      </c>
      <c r="Z58" s="75">
        <f t="shared" si="55"/>
        <v>0</v>
      </c>
      <c r="AA58" s="75">
        <f t="shared" si="55"/>
        <v>0</v>
      </c>
      <c r="AB58" s="75">
        <f t="shared" si="55"/>
        <v>18828</v>
      </c>
      <c r="AC58" s="75">
        <f t="shared" si="55"/>
        <v>0</v>
      </c>
      <c r="AD58" s="75">
        <f t="shared" si="55"/>
        <v>0</v>
      </c>
      <c r="AE58" s="75">
        <f t="shared" si="55"/>
        <v>0</v>
      </c>
      <c r="AF58" s="75">
        <f t="shared" si="55"/>
        <v>3000</v>
      </c>
      <c r="AG58" s="75">
        <f t="shared" si="55"/>
        <v>0</v>
      </c>
      <c r="AH58" s="75">
        <f t="shared" si="55"/>
        <v>0</v>
      </c>
      <c r="AI58" s="75">
        <f t="shared" si="55"/>
        <v>21828</v>
      </c>
      <c r="AJ58" s="75">
        <f t="shared" si="55"/>
        <v>0</v>
      </c>
      <c r="AK58" s="75">
        <f t="shared" si="55"/>
        <v>0</v>
      </c>
      <c r="AL58" s="75">
        <f t="shared" si="55"/>
        <v>21828</v>
      </c>
      <c r="AM58" s="75">
        <f t="shared" si="55"/>
        <v>0</v>
      </c>
      <c r="AN58" s="75">
        <f t="shared" si="55"/>
        <v>0</v>
      </c>
      <c r="AO58" s="75">
        <f t="shared" si="55"/>
        <v>0</v>
      </c>
      <c r="AP58" s="75">
        <f t="shared" si="55"/>
        <v>0</v>
      </c>
      <c r="AQ58" s="75">
        <f t="shared" si="55"/>
        <v>0</v>
      </c>
      <c r="AR58" s="75">
        <f t="shared" si="55"/>
        <v>21828</v>
      </c>
      <c r="AS58" s="75">
        <f t="shared" si="55"/>
        <v>0</v>
      </c>
      <c r="AT58" s="76">
        <f t="shared" si="55"/>
        <v>0</v>
      </c>
      <c r="AU58" s="76">
        <f t="shared" si="55"/>
        <v>0</v>
      </c>
      <c r="AV58" s="76">
        <f t="shared" si="55"/>
        <v>0</v>
      </c>
      <c r="AW58" s="76">
        <f t="shared" si="55"/>
        <v>21828</v>
      </c>
      <c r="AX58" s="76">
        <f t="shared" si="55"/>
        <v>0</v>
      </c>
      <c r="AY58" s="75">
        <f t="shared" si="55"/>
        <v>-7293</v>
      </c>
      <c r="AZ58" s="75">
        <f t="shared" si="55"/>
        <v>0</v>
      </c>
      <c r="BA58" s="75">
        <f t="shared" si="55"/>
        <v>0</v>
      </c>
      <c r="BB58" s="75">
        <f t="shared" si="55"/>
        <v>0</v>
      </c>
      <c r="BC58" s="75">
        <f t="shared" si="55"/>
        <v>0</v>
      </c>
      <c r="BD58" s="75">
        <f t="shared" si="55"/>
        <v>14535</v>
      </c>
      <c r="BE58" s="75">
        <f t="shared" si="55"/>
        <v>0</v>
      </c>
      <c r="BF58" s="75">
        <f t="shared" si="55"/>
        <v>0</v>
      </c>
      <c r="BG58" s="75">
        <f t="shared" si="55"/>
        <v>0</v>
      </c>
      <c r="BH58" s="75">
        <f t="shared" si="55"/>
        <v>0</v>
      </c>
      <c r="BI58" s="75">
        <f t="shared" si="55"/>
        <v>14535</v>
      </c>
      <c r="BJ58" s="75">
        <f t="shared" si="55"/>
        <v>0</v>
      </c>
      <c r="BK58" s="75">
        <f t="shared" si="55"/>
        <v>0</v>
      </c>
      <c r="BL58" s="75">
        <f t="shared" si="55"/>
        <v>0</v>
      </c>
      <c r="BM58" s="75">
        <f t="shared" si="55"/>
        <v>0</v>
      </c>
      <c r="BN58" s="75">
        <f t="shared" si="55"/>
        <v>0</v>
      </c>
      <c r="BO58" s="75">
        <f t="shared" si="55"/>
        <v>14535</v>
      </c>
      <c r="BP58" s="75">
        <f t="shared" si="55"/>
        <v>0</v>
      </c>
      <c r="BQ58" s="75">
        <f t="shared" si="55"/>
        <v>0</v>
      </c>
      <c r="BR58" s="75"/>
      <c r="BS58" s="75">
        <f t="shared" si="55"/>
        <v>0</v>
      </c>
      <c r="BT58" s="75">
        <f t="shared" si="55"/>
        <v>0</v>
      </c>
      <c r="BU58" s="75">
        <f t="shared" si="55"/>
        <v>14535</v>
      </c>
      <c r="BV58" s="75">
        <f>BV59</f>
        <v>0</v>
      </c>
      <c r="BW58" s="75">
        <f t="shared" si="55"/>
        <v>7978</v>
      </c>
      <c r="BX58" s="75">
        <f>BX59</f>
        <v>0</v>
      </c>
      <c r="BY58" s="77">
        <f t="shared" si="48"/>
        <v>54.888200894392845</v>
      </c>
      <c r="BZ58" s="60"/>
    </row>
    <row r="59" spans="1:78" s="16" customFormat="1" ht="75.75" customHeight="1" hidden="1">
      <c r="A59" s="88" t="s">
        <v>138</v>
      </c>
      <c r="B59" s="89" t="s">
        <v>127</v>
      </c>
      <c r="C59" s="89" t="s">
        <v>143</v>
      </c>
      <c r="D59" s="90" t="s">
        <v>122</v>
      </c>
      <c r="E59" s="89" t="s">
        <v>139</v>
      </c>
      <c r="F59" s="75">
        <v>7458</v>
      </c>
      <c r="G59" s="75">
        <f>H59-F59</f>
        <v>11370</v>
      </c>
      <c r="H59" s="75">
        <f>4179+14649</f>
        <v>18828</v>
      </c>
      <c r="I59" s="94"/>
      <c r="J59" s="94"/>
      <c r="K59" s="94"/>
      <c r="L59" s="94"/>
      <c r="M59" s="75">
        <f>H59+J59+K59+L59</f>
        <v>18828</v>
      </c>
      <c r="N59" s="78">
        <f>I59+L59</f>
        <v>0</v>
      </c>
      <c r="O59" s="94"/>
      <c r="P59" s="94"/>
      <c r="Q59" s="94"/>
      <c r="R59" s="94"/>
      <c r="S59" s="75">
        <f>M59+O59+P59+Q59+R59</f>
        <v>18828</v>
      </c>
      <c r="T59" s="75">
        <f>N59+R59</f>
        <v>0</v>
      </c>
      <c r="U59" s="94"/>
      <c r="V59" s="94"/>
      <c r="W59" s="94"/>
      <c r="X59" s="75"/>
      <c r="Y59" s="75"/>
      <c r="Z59" s="94"/>
      <c r="AA59" s="94"/>
      <c r="AB59" s="75">
        <f>S59+U59+V59+W59+X59+Y59+Z59+AA59</f>
        <v>18828</v>
      </c>
      <c r="AC59" s="80">
        <f>T59+Z59+AA59</f>
        <v>0</v>
      </c>
      <c r="AD59" s="95"/>
      <c r="AE59" s="95"/>
      <c r="AF59" s="75">
        <v>3000</v>
      </c>
      <c r="AG59" s="95"/>
      <c r="AH59" s="95"/>
      <c r="AI59" s="75">
        <f>AB59+AD59+AE59+AF59+AG59+AH59</f>
        <v>21828</v>
      </c>
      <c r="AJ59" s="75">
        <f>AC59+AH59</f>
        <v>0</v>
      </c>
      <c r="AK59" s="94"/>
      <c r="AL59" s="75">
        <f>AI59+AK59</f>
        <v>21828</v>
      </c>
      <c r="AM59" s="75">
        <f>AJ59</f>
        <v>0</v>
      </c>
      <c r="AN59" s="94"/>
      <c r="AO59" s="94"/>
      <c r="AP59" s="94"/>
      <c r="AQ59" s="94"/>
      <c r="AR59" s="75">
        <f>AL59+AN59+AO59+AP59+AQ59</f>
        <v>21828</v>
      </c>
      <c r="AS59" s="75">
        <f>AM59+AQ59</f>
        <v>0</v>
      </c>
      <c r="AT59" s="97"/>
      <c r="AU59" s="97"/>
      <c r="AV59" s="97"/>
      <c r="AW59" s="76">
        <f>AV59+AU59+AT59+AR59</f>
        <v>21828</v>
      </c>
      <c r="AX59" s="76">
        <f>AV59+AS59</f>
        <v>0</v>
      </c>
      <c r="AY59" s="75">
        <v>-7293</v>
      </c>
      <c r="AZ59" s="96"/>
      <c r="BA59" s="96"/>
      <c r="BB59" s="96"/>
      <c r="BC59" s="96"/>
      <c r="BD59" s="75">
        <f>AW59+AY59+AZ59+BA59+BB59+BC59</f>
        <v>14535</v>
      </c>
      <c r="BE59" s="75">
        <f>AX59+BC59</f>
        <v>0</v>
      </c>
      <c r="BF59" s="94"/>
      <c r="BG59" s="94"/>
      <c r="BH59" s="94"/>
      <c r="BI59" s="75">
        <f>BD59+BF59+BG59+BH59</f>
        <v>14535</v>
      </c>
      <c r="BJ59" s="75">
        <f>BE59+BH59</f>
        <v>0</v>
      </c>
      <c r="BK59" s="98"/>
      <c r="BL59" s="98"/>
      <c r="BM59" s="98"/>
      <c r="BN59" s="98"/>
      <c r="BO59" s="75">
        <f>BI59+BK59+BL59+BM59+BN59</f>
        <v>14535</v>
      </c>
      <c r="BP59" s="75">
        <f>BJ59+BN59</f>
        <v>0</v>
      </c>
      <c r="BQ59" s="94"/>
      <c r="BR59" s="94"/>
      <c r="BS59" s="94"/>
      <c r="BT59" s="94"/>
      <c r="BU59" s="75">
        <f>BO59+BQ59+BS59+BT59</f>
        <v>14535</v>
      </c>
      <c r="BV59" s="75">
        <f>BP59+BT59</f>
        <v>0</v>
      </c>
      <c r="BW59" s="75">
        <v>7978</v>
      </c>
      <c r="BX59" s="75">
        <f>BR59+BV59</f>
        <v>0</v>
      </c>
      <c r="BY59" s="77">
        <f t="shared" si="48"/>
        <v>54.888200894392845</v>
      </c>
      <c r="BZ59" s="60"/>
    </row>
    <row r="60" spans="1:78" ht="20.25">
      <c r="A60" s="110"/>
      <c r="B60" s="83"/>
      <c r="C60" s="83"/>
      <c r="D60" s="84"/>
      <c r="E60" s="83"/>
      <c r="F60" s="50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52"/>
      <c r="U60" s="51"/>
      <c r="V60" s="51"/>
      <c r="W60" s="51"/>
      <c r="X60" s="51"/>
      <c r="Y60" s="51"/>
      <c r="Z60" s="51"/>
      <c r="AA60" s="51"/>
      <c r="AB60" s="51"/>
      <c r="AC60" s="51"/>
      <c r="AD60" s="50"/>
      <c r="AE60" s="50"/>
      <c r="AF60" s="52"/>
      <c r="AG60" s="50"/>
      <c r="AH60" s="50"/>
      <c r="AI60" s="50"/>
      <c r="AJ60" s="50"/>
      <c r="AK60" s="51"/>
      <c r="AL60" s="51"/>
      <c r="AM60" s="51"/>
      <c r="AN60" s="51"/>
      <c r="AO60" s="51"/>
      <c r="AP60" s="51"/>
      <c r="AQ60" s="51"/>
      <c r="AR60" s="51"/>
      <c r="AS60" s="51"/>
      <c r="AT60" s="53"/>
      <c r="AU60" s="53"/>
      <c r="AV60" s="53"/>
      <c r="AW60" s="53"/>
      <c r="AX60" s="53"/>
      <c r="AY60" s="52"/>
      <c r="AZ60" s="52"/>
      <c r="BA60" s="52"/>
      <c r="BB60" s="52"/>
      <c r="BC60" s="52"/>
      <c r="BD60" s="54"/>
      <c r="BE60" s="54"/>
      <c r="BF60" s="51"/>
      <c r="BG60" s="51"/>
      <c r="BH60" s="51"/>
      <c r="BI60" s="51"/>
      <c r="BJ60" s="51"/>
      <c r="BK60" s="54"/>
      <c r="BL60" s="54"/>
      <c r="BM60" s="54"/>
      <c r="BN60" s="54"/>
      <c r="BO60" s="54"/>
      <c r="BP60" s="54"/>
      <c r="BQ60" s="51"/>
      <c r="BR60" s="51"/>
      <c r="BS60" s="51"/>
      <c r="BT60" s="51"/>
      <c r="BU60" s="51"/>
      <c r="BV60" s="51"/>
      <c r="BW60" s="51"/>
      <c r="BX60" s="51"/>
      <c r="BY60" s="60"/>
      <c r="BZ60" s="60"/>
    </row>
    <row r="61" spans="1:78" s="10" customFormat="1" ht="81">
      <c r="A61" s="55" t="s">
        <v>30</v>
      </c>
      <c r="B61" s="56" t="s">
        <v>31</v>
      </c>
      <c r="C61" s="56"/>
      <c r="D61" s="57"/>
      <c r="E61" s="56"/>
      <c r="F61" s="120">
        <f aca="true" t="shared" si="56" ref="F61:M61">F63+F67</f>
        <v>62508</v>
      </c>
      <c r="G61" s="120">
        <f t="shared" si="56"/>
        <v>27483</v>
      </c>
      <c r="H61" s="120">
        <f t="shared" si="56"/>
        <v>89991</v>
      </c>
      <c r="I61" s="120">
        <f t="shared" si="56"/>
        <v>0</v>
      </c>
      <c r="J61" s="120">
        <f t="shared" si="56"/>
        <v>0</v>
      </c>
      <c r="K61" s="120">
        <f t="shared" si="56"/>
        <v>0</v>
      </c>
      <c r="L61" s="120">
        <f t="shared" si="56"/>
        <v>0</v>
      </c>
      <c r="M61" s="120">
        <f t="shared" si="56"/>
        <v>89991</v>
      </c>
      <c r="N61" s="120">
        <f aca="true" t="shared" si="57" ref="N61:S61">N63+N67</f>
        <v>0</v>
      </c>
      <c r="O61" s="120">
        <f t="shared" si="57"/>
        <v>0</v>
      </c>
      <c r="P61" s="120">
        <f t="shared" si="57"/>
        <v>0</v>
      </c>
      <c r="Q61" s="120">
        <f t="shared" si="57"/>
        <v>0</v>
      </c>
      <c r="R61" s="120">
        <f t="shared" si="57"/>
        <v>0</v>
      </c>
      <c r="S61" s="120">
        <f t="shared" si="57"/>
        <v>89991</v>
      </c>
      <c r="T61" s="120">
        <f aca="true" t="shared" si="58" ref="T61:AB61">T63+T67</f>
        <v>0</v>
      </c>
      <c r="U61" s="120">
        <f t="shared" si="58"/>
        <v>0</v>
      </c>
      <c r="V61" s="120">
        <f t="shared" si="58"/>
        <v>0</v>
      </c>
      <c r="W61" s="120">
        <f t="shared" si="58"/>
        <v>0</v>
      </c>
      <c r="X61" s="120">
        <f t="shared" si="58"/>
        <v>0</v>
      </c>
      <c r="Y61" s="120">
        <f t="shared" si="58"/>
        <v>0</v>
      </c>
      <c r="Z61" s="120">
        <f t="shared" si="58"/>
        <v>0</v>
      </c>
      <c r="AA61" s="120">
        <f t="shared" si="58"/>
        <v>0</v>
      </c>
      <c r="AB61" s="120">
        <f t="shared" si="58"/>
        <v>89991</v>
      </c>
      <c r="AC61" s="120">
        <f aca="true" t="shared" si="59" ref="AC61:AI61">AC63+AC67</f>
        <v>0</v>
      </c>
      <c r="AD61" s="120">
        <f t="shared" si="59"/>
        <v>29</v>
      </c>
      <c r="AE61" s="120">
        <f t="shared" si="59"/>
        <v>84</v>
      </c>
      <c r="AF61" s="120">
        <f t="shared" si="59"/>
        <v>-955</v>
      </c>
      <c r="AG61" s="120">
        <f t="shared" si="59"/>
        <v>0</v>
      </c>
      <c r="AH61" s="120">
        <f t="shared" si="59"/>
        <v>0</v>
      </c>
      <c r="AI61" s="120">
        <f t="shared" si="59"/>
        <v>89149</v>
      </c>
      <c r="AJ61" s="120">
        <f>AJ63+AJ67</f>
        <v>0</v>
      </c>
      <c r="AK61" s="120">
        <f>AK63+AK67</f>
        <v>0</v>
      </c>
      <c r="AL61" s="120">
        <f>AL63+AL67</f>
        <v>89149</v>
      </c>
      <c r="AM61" s="120">
        <f aca="true" t="shared" si="60" ref="AM61:AS61">AM63+AM67</f>
        <v>0</v>
      </c>
      <c r="AN61" s="120">
        <f t="shared" si="60"/>
        <v>0</v>
      </c>
      <c r="AO61" s="120">
        <f t="shared" si="60"/>
        <v>-15</v>
      </c>
      <c r="AP61" s="120">
        <f t="shared" si="60"/>
        <v>5</v>
      </c>
      <c r="AQ61" s="120">
        <f t="shared" si="60"/>
        <v>0</v>
      </c>
      <c r="AR61" s="120">
        <f t="shared" si="60"/>
        <v>89139</v>
      </c>
      <c r="AS61" s="120">
        <f t="shared" si="60"/>
        <v>0</v>
      </c>
      <c r="AT61" s="121">
        <f>AT63+AT67</f>
        <v>570</v>
      </c>
      <c r="AU61" s="121">
        <f>AU63+AU67</f>
        <v>0</v>
      </c>
      <c r="AV61" s="121">
        <f>AV63+AV67</f>
        <v>0</v>
      </c>
      <c r="AW61" s="121">
        <f>AW63+AW67</f>
        <v>89709</v>
      </c>
      <c r="AX61" s="121">
        <f aca="true" t="shared" si="61" ref="AX61:BD61">AX63+AX67</f>
        <v>0</v>
      </c>
      <c r="AY61" s="120">
        <f t="shared" si="61"/>
        <v>-6906</v>
      </c>
      <c r="AZ61" s="120">
        <f>AZ63+AZ67</f>
        <v>0</v>
      </c>
      <c r="BA61" s="120">
        <f>BA63+BA67</f>
        <v>0</v>
      </c>
      <c r="BB61" s="120">
        <f>BB63+BB67</f>
        <v>2500</v>
      </c>
      <c r="BC61" s="120">
        <f t="shared" si="61"/>
        <v>0</v>
      </c>
      <c r="BD61" s="120">
        <f t="shared" si="61"/>
        <v>85303</v>
      </c>
      <c r="BE61" s="120">
        <f>BE63+BE67</f>
        <v>0</v>
      </c>
      <c r="BF61" s="120">
        <f>BF63+BF67</f>
        <v>0</v>
      </c>
      <c r="BG61" s="120">
        <f>BG63+BG67</f>
        <v>0</v>
      </c>
      <c r="BH61" s="120">
        <f>BH63+BH67</f>
        <v>0</v>
      </c>
      <c r="BI61" s="120">
        <f>BI63+BI67</f>
        <v>85303</v>
      </c>
      <c r="BJ61" s="120">
        <f aca="true" t="shared" si="62" ref="BJ61:BP61">BJ63+BJ67</f>
        <v>0</v>
      </c>
      <c r="BK61" s="120">
        <f t="shared" si="62"/>
        <v>0</v>
      </c>
      <c r="BL61" s="120">
        <f t="shared" si="62"/>
        <v>0</v>
      </c>
      <c r="BM61" s="120">
        <f t="shared" si="62"/>
        <v>0</v>
      </c>
      <c r="BN61" s="120">
        <f t="shared" si="62"/>
        <v>0</v>
      </c>
      <c r="BO61" s="120">
        <f t="shared" si="62"/>
        <v>85303</v>
      </c>
      <c r="BP61" s="120">
        <f t="shared" si="62"/>
        <v>0</v>
      </c>
      <c r="BQ61" s="120">
        <f>BQ63+BQ67</f>
        <v>-43</v>
      </c>
      <c r="BR61" s="120"/>
      <c r="BS61" s="120">
        <f aca="true" t="shared" si="63" ref="BS61:BX61">BS63+BS67</f>
        <v>0</v>
      </c>
      <c r="BT61" s="120">
        <f t="shared" si="63"/>
        <v>0</v>
      </c>
      <c r="BU61" s="120">
        <f t="shared" si="63"/>
        <v>85260</v>
      </c>
      <c r="BV61" s="120">
        <f t="shared" si="63"/>
        <v>0</v>
      </c>
      <c r="BW61" s="120">
        <f t="shared" si="63"/>
        <v>84364</v>
      </c>
      <c r="BX61" s="120">
        <f t="shared" si="63"/>
        <v>0</v>
      </c>
      <c r="BY61" s="60">
        <f>BW61/BU61*100</f>
        <v>98.94909688013136</v>
      </c>
      <c r="BZ61" s="60"/>
    </row>
    <row r="62" spans="1:78" s="10" customFormat="1" ht="12" customHeight="1">
      <c r="A62" s="55"/>
      <c r="B62" s="56"/>
      <c r="C62" s="56"/>
      <c r="D62" s="57"/>
      <c r="E62" s="56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1"/>
      <c r="AU62" s="121"/>
      <c r="AV62" s="121"/>
      <c r="AW62" s="121"/>
      <c r="AX62" s="121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60"/>
      <c r="BZ62" s="60"/>
    </row>
    <row r="63" spans="1:78" s="12" customFormat="1" ht="20.25">
      <c r="A63" s="66" t="s">
        <v>32</v>
      </c>
      <c r="B63" s="67" t="s">
        <v>132</v>
      </c>
      <c r="C63" s="67" t="s">
        <v>128</v>
      </c>
      <c r="D63" s="85"/>
      <c r="E63" s="67"/>
      <c r="F63" s="69">
        <f aca="true" t="shared" si="64" ref="F63:U64">F64</f>
        <v>26391</v>
      </c>
      <c r="G63" s="69">
        <f t="shared" si="64"/>
        <v>19704</v>
      </c>
      <c r="H63" s="69">
        <f t="shared" si="64"/>
        <v>46095</v>
      </c>
      <c r="I63" s="69">
        <f t="shared" si="64"/>
        <v>0</v>
      </c>
      <c r="J63" s="69">
        <f t="shared" si="64"/>
        <v>0</v>
      </c>
      <c r="K63" s="69">
        <f t="shared" si="64"/>
        <v>0</v>
      </c>
      <c r="L63" s="69">
        <f t="shared" si="64"/>
        <v>0</v>
      </c>
      <c r="M63" s="69">
        <f t="shared" si="64"/>
        <v>46095</v>
      </c>
      <c r="N63" s="69">
        <f t="shared" si="64"/>
        <v>0</v>
      </c>
      <c r="O63" s="69">
        <f t="shared" si="64"/>
        <v>0</v>
      </c>
      <c r="P63" s="69">
        <f t="shared" si="64"/>
        <v>0</v>
      </c>
      <c r="Q63" s="69">
        <f t="shared" si="64"/>
        <v>0</v>
      </c>
      <c r="R63" s="69">
        <f t="shared" si="64"/>
        <v>0</v>
      </c>
      <c r="S63" s="69">
        <f t="shared" si="64"/>
        <v>46095</v>
      </c>
      <c r="T63" s="69">
        <f t="shared" si="64"/>
        <v>0</v>
      </c>
      <c r="U63" s="69">
        <f t="shared" si="64"/>
        <v>0</v>
      </c>
      <c r="V63" s="69">
        <f aca="true" t="shared" si="65" ref="T63:AJ64">V64</f>
        <v>0</v>
      </c>
      <c r="W63" s="69">
        <f t="shared" si="65"/>
        <v>0</v>
      </c>
      <c r="X63" s="69">
        <f t="shared" si="65"/>
        <v>0</v>
      </c>
      <c r="Y63" s="69">
        <f t="shared" si="65"/>
        <v>0</v>
      </c>
      <c r="Z63" s="69">
        <f t="shared" si="65"/>
        <v>0</v>
      </c>
      <c r="AA63" s="69">
        <f t="shared" si="65"/>
        <v>0</v>
      </c>
      <c r="AB63" s="69">
        <f t="shared" si="65"/>
        <v>46095</v>
      </c>
      <c r="AC63" s="69">
        <f t="shared" si="65"/>
        <v>0</v>
      </c>
      <c r="AD63" s="69">
        <f t="shared" si="65"/>
        <v>14</v>
      </c>
      <c r="AE63" s="69">
        <f t="shared" si="65"/>
        <v>49</v>
      </c>
      <c r="AF63" s="69">
        <f t="shared" si="65"/>
        <v>-955</v>
      </c>
      <c r="AG63" s="69">
        <f t="shared" si="65"/>
        <v>0</v>
      </c>
      <c r="AH63" s="69">
        <f t="shared" si="65"/>
        <v>0</v>
      </c>
      <c r="AI63" s="69">
        <f t="shared" si="65"/>
        <v>45203</v>
      </c>
      <c r="AJ63" s="69">
        <f t="shared" si="65"/>
        <v>0</v>
      </c>
      <c r="AK63" s="69">
        <f>AK64</f>
        <v>0</v>
      </c>
      <c r="AL63" s="69">
        <f>AL64</f>
        <v>45203</v>
      </c>
      <c r="AM63" s="69">
        <f aca="true" t="shared" si="66" ref="AM63:BX63">AM64</f>
        <v>0</v>
      </c>
      <c r="AN63" s="69">
        <f t="shared" si="66"/>
        <v>0</v>
      </c>
      <c r="AO63" s="69">
        <f t="shared" si="66"/>
        <v>-43</v>
      </c>
      <c r="AP63" s="69">
        <f t="shared" si="66"/>
        <v>-11</v>
      </c>
      <c r="AQ63" s="69">
        <f t="shared" si="66"/>
        <v>0</v>
      </c>
      <c r="AR63" s="69">
        <f t="shared" si="66"/>
        <v>45149</v>
      </c>
      <c r="AS63" s="69">
        <f t="shared" si="66"/>
        <v>0</v>
      </c>
      <c r="AT63" s="70">
        <f t="shared" si="66"/>
        <v>570</v>
      </c>
      <c r="AU63" s="70">
        <f t="shared" si="66"/>
        <v>0</v>
      </c>
      <c r="AV63" s="70">
        <f t="shared" si="66"/>
        <v>0</v>
      </c>
      <c r="AW63" s="70">
        <f t="shared" si="66"/>
        <v>45719</v>
      </c>
      <c r="AX63" s="70">
        <f t="shared" si="66"/>
        <v>0</v>
      </c>
      <c r="AY63" s="69">
        <f t="shared" si="66"/>
        <v>-5552</v>
      </c>
      <c r="AZ63" s="69">
        <f t="shared" si="66"/>
        <v>0</v>
      </c>
      <c r="BA63" s="69">
        <f t="shared" si="66"/>
        <v>0</v>
      </c>
      <c r="BB63" s="69">
        <f t="shared" si="66"/>
        <v>2500</v>
      </c>
      <c r="BC63" s="69">
        <f t="shared" si="66"/>
        <v>0</v>
      </c>
      <c r="BD63" s="69">
        <f t="shared" si="66"/>
        <v>42667</v>
      </c>
      <c r="BE63" s="69">
        <f t="shared" si="66"/>
        <v>0</v>
      </c>
      <c r="BF63" s="69">
        <f t="shared" si="66"/>
        <v>0</v>
      </c>
      <c r="BG63" s="69">
        <f t="shared" si="66"/>
        <v>0</v>
      </c>
      <c r="BH63" s="69">
        <f t="shared" si="66"/>
        <v>0</v>
      </c>
      <c r="BI63" s="69">
        <f t="shared" si="66"/>
        <v>42667</v>
      </c>
      <c r="BJ63" s="69">
        <f t="shared" si="66"/>
        <v>0</v>
      </c>
      <c r="BK63" s="69">
        <f t="shared" si="66"/>
        <v>0</v>
      </c>
      <c r="BL63" s="69">
        <f t="shared" si="66"/>
        <v>0</v>
      </c>
      <c r="BM63" s="69">
        <f t="shared" si="66"/>
        <v>0</v>
      </c>
      <c r="BN63" s="69">
        <f t="shared" si="66"/>
        <v>0</v>
      </c>
      <c r="BO63" s="69">
        <f t="shared" si="66"/>
        <v>42667</v>
      </c>
      <c r="BP63" s="69">
        <f t="shared" si="66"/>
        <v>0</v>
      </c>
      <c r="BQ63" s="69">
        <f t="shared" si="66"/>
        <v>-42</v>
      </c>
      <c r="BR63" s="69"/>
      <c r="BS63" s="69">
        <f t="shared" si="66"/>
        <v>0</v>
      </c>
      <c r="BT63" s="69">
        <f t="shared" si="66"/>
        <v>0</v>
      </c>
      <c r="BU63" s="69">
        <f t="shared" si="66"/>
        <v>42625</v>
      </c>
      <c r="BV63" s="69">
        <f t="shared" si="66"/>
        <v>0</v>
      </c>
      <c r="BW63" s="69">
        <f t="shared" si="66"/>
        <v>42128</v>
      </c>
      <c r="BX63" s="69">
        <f t="shared" si="66"/>
        <v>0</v>
      </c>
      <c r="BY63" s="71">
        <f>BW63/BU63*100</f>
        <v>98.83401759530793</v>
      </c>
      <c r="BZ63" s="72"/>
    </row>
    <row r="64" spans="1:78" s="14" customFormat="1" ht="39" customHeight="1" hidden="1">
      <c r="A64" s="88" t="s">
        <v>33</v>
      </c>
      <c r="B64" s="89" t="s">
        <v>132</v>
      </c>
      <c r="C64" s="89" t="s">
        <v>128</v>
      </c>
      <c r="D64" s="90" t="s">
        <v>34</v>
      </c>
      <c r="E64" s="89"/>
      <c r="F64" s="75">
        <f t="shared" si="64"/>
        <v>26391</v>
      </c>
      <c r="G64" s="75">
        <f t="shared" si="64"/>
        <v>19704</v>
      </c>
      <c r="H64" s="75">
        <f t="shared" si="64"/>
        <v>46095</v>
      </c>
      <c r="I64" s="75">
        <f t="shared" si="64"/>
        <v>0</v>
      </c>
      <c r="J64" s="75">
        <f t="shared" si="64"/>
        <v>0</v>
      </c>
      <c r="K64" s="75">
        <f t="shared" si="64"/>
        <v>0</v>
      </c>
      <c r="L64" s="75">
        <f t="shared" si="64"/>
        <v>0</v>
      </c>
      <c r="M64" s="75">
        <f t="shared" si="64"/>
        <v>46095</v>
      </c>
      <c r="N64" s="75">
        <f t="shared" si="64"/>
        <v>0</v>
      </c>
      <c r="O64" s="75">
        <f t="shared" si="64"/>
        <v>0</v>
      </c>
      <c r="P64" s="75">
        <f t="shared" si="64"/>
        <v>0</v>
      </c>
      <c r="Q64" s="75">
        <f t="shared" si="64"/>
        <v>0</v>
      </c>
      <c r="R64" s="75">
        <f t="shared" si="64"/>
        <v>0</v>
      </c>
      <c r="S64" s="75">
        <f t="shared" si="64"/>
        <v>46095</v>
      </c>
      <c r="T64" s="75">
        <f t="shared" si="65"/>
        <v>0</v>
      </c>
      <c r="U64" s="75">
        <f t="shared" si="65"/>
        <v>0</v>
      </c>
      <c r="V64" s="75">
        <f t="shared" si="65"/>
        <v>0</v>
      </c>
      <c r="W64" s="75">
        <f t="shared" si="65"/>
        <v>0</v>
      </c>
      <c r="X64" s="75">
        <f t="shared" si="65"/>
        <v>0</v>
      </c>
      <c r="Y64" s="75">
        <f t="shared" si="65"/>
        <v>0</v>
      </c>
      <c r="Z64" s="75">
        <f t="shared" si="65"/>
        <v>0</v>
      </c>
      <c r="AA64" s="75">
        <f t="shared" si="65"/>
        <v>0</v>
      </c>
      <c r="AB64" s="75">
        <f t="shared" si="65"/>
        <v>46095</v>
      </c>
      <c r="AC64" s="75">
        <f aca="true" t="shared" si="67" ref="AC64:BX64">AC65</f>
        <v>0</v>
      </c>
      <c r="AD64" s="75">
        <f t="shared" si="67"/>
        <v>14</v>
      </c>
      <c r="AE64" s="75">
        <f t="shared" si="67"/>
        <v>49</v>
      </c>
      <c r="AF64" s="75">
        <f t="shared" si="67"/>
        <v>-955</v>
      </c>
      <c r="AG64" s="75">
        <f t="shared" si="67"/>
        <v>0</v>
      </c>
      <c r="AH64" s="75">
        <f t="shared" si="67"/>
        <v>0</v>
      </c>
      <c r="AI64" s="75">
        <f t="shared" si="67"/>
        <v>45203</v>
      </c>
      <c r="AJ64" s="75">
        <f t="shared" si="67"/>
        <v>0</v>
      </c>
      <c r="AK64" s="75">
        <f t="shared" si="67"/>
        <v>0</v>
      </c>
      <c r="AL64" s="75">
        <f t="shared" si="67"/>
        <v>45203</v>
      </c>
      <c r="AM64" s="75">
        <f t="shared" si="67"/>
        <v>0</v>
      </c>
      <c r="AN64" s="75">
        <f t="shared" si="67"/>
        <v>0</v>
      </c>
      <c r="AO64" s="75">
        <f t="shared" si="67"/>
        <v>-43</v>
      </c>
      <c r="AP64" s="75">
        <f t="shared" si="67"/>
        <v>-11</v>
      </c>
      <c r="AQ64" s="75">
        <f t="shared" si="67"/>
        <v>0</v>
      </c>
      <c r="AR64" s="75">
        <f t="shared" si="67"/>
        <v>45149</v>
      </c>
      <c r="AS64" s="75">
        <f t="shared" si="67"/>
        <v>0</v>
      </c>
      <c r="AT64" s="76">
        <f t="shared" si="67"/>
        <v>570</v>
      </c>
      <c r="AU64" s="76">
        <f t="shared" si="67"/>
        <v>0</v>
      </c>
      <c r="AV64" s="76">
        <f t="shared" si="67"/>
        <v>0</v>
      </c>
      <c r="AW64" s="76">
        <f t="shared" si="67"/>
        <v>45719</v>
      </c>
      <c r="AX64" s="76">
        <f t="shared" si="67"/>
        <v>0</v>
      </c>
      <c r="AY64" s="75">
        <f t="shared" si="67"/>
        <v>-5552</v>
      </c>
      <c r="AZ64" s="75">
        <f t="shared" si="67"/>
        <v>0</v>
      </c>
      <c r="BA64" s="75">
        <f t="shared" si="67"/>
        <v>0</v>
      </c>
      <c r="BB64" s="75">
        <f t="shared" si="67"/>
        <v>2500</v>
      </c>
      <c r="BC64" s="75">
        <f t="shared" si="67"/>
        <v>0</v>
      </c>
      <c r="BD64" s="75">
        <f t="shared" si="67"/>
        <v>42667</v>
      </c>
      <c r="BE64" s="75">
        <f t="shared" si="67"/>
        <v>0</v>
      </c>
      <c r="BF64" s="75">
        <f t="shared" si="67"/>
        <v>0</v>
      </c>
      <c r="BG64" s="75">
        <f t="shared" si="67"/>
        <v>0</v>
      </c>
      <c r="BH64" s="75">
        <f t="shared" si="67"/>
        <v>0</v>
      </c>
      <c r="BI64" s="75">
        <f t="shared" si="67"/>
        <v>42667</v>
      </c>
      <c r="BJ64" s="75">
        <f t="shared" si="67"/>
        <v>0</v>
      </c>
      <c r="BK64" s="75">
        <f t="shared" si="67"/>
        <v>0</v>
      </c>
      <c r="BL64" s="75">
        <f t="shared" si="67"/>
        <v>0</v>
      </c>
      <c r="BM64" s="75">
        <f t="shared" si="67"/>
        <v>0</v>
      </c>
      <c r="BN64" s="75">
        <f t="shared" si="67"/>
        <v>0</v>
      </c>
      <c r="BO64" s="75">
        <f t="shared" si="67"/>
        <v>42667</v>
      </c>
      <c r="BP64" s="75">
        <f t="shared" si="67"/>
        <v>0</v>
      </c>
      <c r="BQ64" s="75">
        <f t="shared" si="67"/>
        <v>-42</v>
      </c>
      <c r="BR64" s="75"/>
      <c r="BS64" s="75">
        <f t="shared" si="67"/>
        <v>0</v>
      </c>
      <c r="BT64" s="75">
        <f t="shared" si="67"/>
        <v>0</v>
      </c>
      <c r="BU64" s="75">
        <f t="shared" si="67"/>
        <v>42625</v>
      </c>
      <c r="BV64" s="75">
        <f t="shared" si="67"/>
        <v>0</v>
      </c>
      <c r="BW64" s="75">
        <f t="shared" si="67"/>
        <v>42128</v>
      </c>
      <c r="BX64" s="75">
        <f t="shared" si="67"/>
        <v>0</v>
      </c>
      <c r="BY64" s="77">
        <f>BW64/BU64*100</f>
        <v>98.83401759530793</v>
      </c>
      <c r="BZ64" s="72"/>
    </row>
    <row r="65" spans="1:78" s="14" customFormat="1" ht="36" customHeight="1" hidden="1">
      <c r="A65" s="88" t="s">
        <v>129</v>
      </c>
      <c r="B65" s="89" t="s">
        <v>132</v>
      </c>
      <c r="C65" s="89" t="s">
        <v>128</v>
      </c>
      <c r="D65" s="90" t="s">
        <v>34</v>
      </c>
      <c r="E65" s="89" t="s">
        <v>130</v>
      </c>
      <c r="F65" s="75">
        <v>26391</v>
      </c>
      <c r="G65" s="75">
        <f>H65-F65</f>
        <v>19704</v>
      </c>
      <c r="H65" s="75">
        <v>46095</v>
      </c>
      <c r="I65" s="79"/>
      <c r="J65" s="79"/>
      <c r="K65" s="79"/>
      <c r="L65" s="79"/>
      <c r="M65" s="75">
        <f>H65+J65+K65+L65</f>
        <v>46095</v>
      </c>
      <c r="N65" s="78">
        <f>I65+L65</f>
        <v>0</v>
      </c>
      <c r="O65" s="79"/>
      <c r="P65" s="78"/>
      <c r="Q65" s="78"/>
      <c r="R65" s="79"/>
      <c r="S65" s="75">
        <f>M65+O65+P65+Q65+R65</f>
        <v>46095</v>
      </c>
      <c r="T65" s="75">
        <f>N65+R65</f>
        <v>0</v>
      </c>
      <c r="U65" s="78"/>
      <c r="V65" s="78"/>
      <c r="W65" s="79"/>
      <c r="X65" s="78"/>
      <c r="Y65" s="79"/>
      <c r="Z65" s="79"/>
      <c r="AA65" s="79"/>
      <c r="AB65" s="75">
        <f>S65+U65+V65+W65+X65+Y65+Z65+AA65</f>
        <v>46095</v>
      </c>
      <c r="AC65" s="80">
        <f>T65+Z65+AA65</f>
        <v>0</v>
      </c>
      <c r="AD65" s="75">
        <v>14</v>
      </c>
      <c r="AE65" s="75">
        <v>49</v>
      </c>
      <c r="AF65" s="75">
        <v>-955</v>
      </c>
      <c r="AG65" s="80"/>
      <c r="AH65" s="80"/>
      <c r="AI65" s="75">
        <f>AB65+AD65+AE65+AF65+AG65+AH65</f>
        <v>45203</v>
      </c>
      <c r="AJ65" s="75">
        <f>AC65+AH65</f>
        <v>0</v>
      </c>
      <c r="AK65" s="79"/>
      <c r="AL65" s="75">
        <f>AI65+AK65</f>
        <v>45203</v>
      </c>
      <c r="AM65" s="75">
        <f>AJ65</f>
        <v>0</v>
      </c>
      <c r="AN65" s="79"/>
      <c r="AO65" s="78">
        <v>-43</v>
      </c>
      <c r="AP65" s="78">
        <v>-11</v>
      </c>
      <c r="AQ65" s="79"/>
      <c r="AR65" s="75">
        <f>AL65+AN65+AO65+AP65+AQ65</f>
        <v>45149</v>
      </c>
      <c r="AS65" s="75">
        <f>AM65+AQ65</f>
        <v>0</v>
      </c>
      <c r="AT65" s="81">
        <v>570</v>
      </c>
      <c r="AU65" s="81"/>
      <c r="AV65" s="81"/>
      <c r="AW65" s="76">
        <f>AV65+AU65+AT65+AR65</f>
        <v>45719</v>
      </c>
      <c r="AX65" s="76">
        <f>AV65+AS65</f>
        <v>0</v>
      </c>
      <c r="AY65" s="75">
        <v>-5552</v>
      </c>
      <c r="AZ65" s="75"/>
      <c r="BA65" s="75"/>
      <c r="BB65" s="75">
        <v>2500</v>
      </c>
      <c r="BC65" s="75"/>
      <c r="BD65" s="75">
        <f>AW65+AY65+AZ65+BA65+BB65+BC65</f>
        <v>42667</v>
      </c>
      <c r="BE65" s="75">
        <f>AX65+BC65</f>
        <v>0</v>
      </c>
      <c r="BF65" s="79"/>
      <c r="BG65" s="79"/>
      <c r="BH65" s="79"/>
      <c r="BI65" s="75">
        <f>BD65+BF65+BG65+BH65</f>
        <v>42667</v>
      </c>
      <c r="BJ65" s="75">
        <f>BE65+BH65</f>
        <v>0</v>
      </c>
      <c r="BK65" s="78"/>
      <c r="BL65" s="78"/>
      <c r="BM65" s="78"/>
      <c r="BN65" s="78"/>
      <c r="BO65" s="75">
        <f>BI65+BK65+BL65+BM65+BN65</f>
        <v>42667</v>
      </c>
      <c r="BP65" s="75">
        <f>BJ65+BN65</f>
        <v>0</v>
      </c>
      <c r="BQ65" s="78">
        <v>-42</v>
      </c>
      <c r="BR65" s="78"/>
      <c r="BS65" s="79"/>
      <c r="BT65" s="79"/>
      <c r="BU65" s="75">
        <f>BO65+BQ65+BS65+BT65</f>
        <v>42625</v>
      </c>
      <c r="BV65" s="75">
        <f>BP65+BT65</f>
        <v>0</v>
      </c>
      <c r="BW65" s="75">
        <v>42128</v>
      </c>
      <c r="BX65" s="75">
        <f>BR65+BV65</f>
        <v>0</v>
      </c>
      <c r="BY65" s="77">
        <f>BW65/BU65*100</f>
        <v>98.83401759530793</v>
      </c>
      <c r="BZ65" s="72"/>
    </row>
    <row r="66" spans="1:78" s="14" customFormat="1" ht="13.5" customHeight="1">
      <c r="A66" s="88"/>
      <c r="B66" s="89"/>
      <c r="C66" s="89"/>
      <c r="D66" s="90"/>
      <c r="E66" s="89"/>
      <c r="F66" s="80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5"/>
      <c r="T66" s="75"/>
      <c r="U66" s="79"/>
      <c r="V66" s="79"/>
      <c r="W66" s="79"/>
      <c r="X66" s="79"/>
      <c r="Y66" s="79"/>
      <c r="Z66" s="79"/>
      <c r="AA66" s="79"/>
      <c r="AB66" s="79"/>
      <c r="AC66" s="79"/>
      <c r="AD66" s="80"/>
      <c r="AE66" s="80"/>
      <c r="AF66" s="75"/>
      <c r="AG66" s="80"/>
      <c r="AH66" s="80"/>
      <c r="AI66" s="80"/>
      <c r="AJ66" s="80"/>
      <c r="AK66" s="79"/>
      <c r="AL66" s="79"/>
      <c r="AM66" s="79"/>
      <c r="AN66" s="79"/>
      <c r="AO66" s="79"/>
      <c r="AP66" s="79"/>
      <c r="AQ66" s="79"/>
      <c r="AR66" s="79"/>
      <c r="AS66" s="79"/>
      <c r="AT66" s="81"/>
      <c r="AU66" s="81"/>
      <c r="AV66" s="81"/>
      <c r="AW66" s="81"/>
      <c r="AX66" s="81"/>
      <c r="AY66" s="75"/>
      <c r="AZ66" s="75"/>
      <c r="BA66" s="75"/>
      <c r="BB66" s="75"/>
      <c r="BC66" s="75"/>
      <c r="BD66" s="78"/>
      <c r="BE66" s="78"/>
      <c r="BF66" s="79"/>
      <c r="BG66" s="79"/>
      <c r="BH66" s="79"/>
      <c r="BI66" s="79"/>
      <c r="BJ66" s="79"/>
      <c r="BK66" s="78"/>
      <c r="BL66" s="78"/>
      <c r="BM66" s="78"/>
      <c r="BN66" s="78"/>
      <c r="BO66" s="78"/>
      <c r="BP66" s="78"/>
      <c r="BQ66" s="79"/>
      <c r="BR66" s="79"/>
      <c r="BS66" s="79"/>
      <c r="BT66" s="79"/>
      <c r="BU66" s="79"/>
      <c r="BV66" s="79"/>
      <c r="BW66" s="79"/>
      <c r="BX66" s="79"/>
      <c r="BY66" s="72"/>
      <c r="BZ66" s="72"/>
    </row>
    <row r="67" spans="1:78" ht="76.5" customHeight="1">
      <c r="A67" s="66" t="s">
        <v>178</v>
      </c>
      <c r="B67" s="67" t="s">
        <v>132</v>
      </c>
      <c r="C67" s="67" t="s">
        <v>148</v>
      </c>
      <c r="D67" s="85"/>
      <c r="E67" s="67"/>
      <c r="F67" s="69">
        <f aca="true" t="shared" si="68" ref="F67:M67">F68+F70</f>
        <v>36117</v>
      </c>
      <c r="G67" s="69">
        <f t="shared" si="68"/>
        <v>7779</v>
      </c>
      <c r="H67" s="69">
        <f t="shared" si="68"/>
        <v>43896</v>
      </c>
      <c r="I67" s="69">
        <f t="shared" si="68"/>
        <v>0</v>
      </c>
      <c r="J67" s="69">
        <f t="shared" si="68"/>
        <v>0</v>
      </c>
      <c r="K67" s="69">
        <f t="shared" si="68"/>
        <v>0</v>
      </c>
      <c r="L67" s="69">
        <f t="shared" si="68"/>
        <v>0</v>
      </c>
      <c r="M67" s="69">
        <f t="shared" si="68"/>
        <v>43896</v>
      </c>
      <c r="N67" s="69">
        <f aca="true" t="shared" si="69" ref="N67:S67">N68+N70</f>
        <v>0</v>
      </c>
      <c r="O67" s="69">
        <f t="shared" si="69"/>
        <v>0</v>
      </c>
      <c r="P67" s="69">
        <f t="shared" si="69"/>
        <v>0</v>
      </c>
      <c r="Q67" s="69">
        <f t="shared" si="69"/>
        <v>0</v>
      </c>
      <c r="R67" s="69">
        <f t="shared" si="69"/>
        <v>0</v>
      </c>
      <c r="S67" s="69">
        <f t="shared" si="69"/>
        <v>43896</v>
      </c>
      <c r="T67" s="69">
        <f aca="true" t="shared" si="70" ref="T67:AB67">T68+T70</f>
        <v>0</v>
      </c>
      <c r="U67" s="69">
        <f t="shared" si="70"/>
        <v>0</v>
      </c>
      <c r="V67" s="69">
        <f t="shared" si="70"/>
        <v>0</v>
      </c>
      <c r="W67" s="69">
        <f t="shared" si="70"/>
        <v>0</v>
      </c>
      <c r="X67" s="69">
        <f t="shared" si="70"/>
        <v>0</v>
      </c>
      <c r="Y67" s="69">
        <f t="shared" si="70"/>
        <v>0</v>
      </c>
      <c r="Z67" s="69">
        <f t="shared" si="70"/>
        <v>0</v>
      </c>
      <c r="AA67" s="69">
        <f t="shared" si="70"/>
        <v>0</v>
      </c>
      <c r="AB67" s="69">
        <f t="shared" si="70"/>
        <v>43896</v>
      </c>
      <c r="AC67" s="69">
        <f aca="true" t="shared" si="71" ref="AC67:AI67">AC68+AC70</f>
        <v>0</v>
      </c>
      <c r="AD67" s="69">
        <f t="shared" si="71"/>
        <v>15</v>
      </c>
      <c r="AE67" s="69">
        <f t="shared" si="71"/>
        <v>35</v>
      </c>
      <c r="AF67" s="69">
        <f t="shared" si="71"/>
        <v>0</v>
      </c>
      <c r="AG67" s="69">
        <f t="shared" si="71"/>
        <v>0</v>
      </c>
      <c r="AH67" s="69">
        <f t="shared" si="71"/>
        <v>0</v>
      </c>
      <c r="AI67" s="69">
        <f t="shared" si="71"/>
        <v>43946</v>
      </c>
      <c r="AJ67" s="69">
        <f>AJ68+AJ70</f>
        <v>0</v>
      </c>
      <c r="AK67" s="69">
        <f>AK68+AK70</f>
        <v>0</v>
      </c>
      <c r="AL67" s="69">
        <f>AL68+AL70</f>
        <v>43946</v>
      </c>
      <c r="AM67" s="69">
        <f aca="true" t="shared" si="72" ref="AM67:AS67">AM68+AM70</f>
        <v>0</v>
      </c>
      <c r="AN67" s="69">
        <f t="shared" si="72"/>
        <v>0</v>
      </c>
      <c r="AO67" s="69">
        <f>AO68+AO70</f>
        <v>28</v>
      </c>
      <c r="AP67" s="69">
        <f t="shared" si="72"/>
        <v>16</v>
      </c>
      <c r="AQ67" s="69">
        <f t="shared" si="72"/>
        <v>0</v>
      </c>
      <c r="AR67" s="69">
        <f t="shared" si="72"/>
        <v>43990</v>
      </c>
      <c r="AS67" s="69">
        <f t="shared" si="72"/>
        <v>0</v>
      </c>
      <c r="AT67" s="70">
        <f>AT68+AT70</f>
        <v>0</v>
      </c>
      <c r="AU67" s="70">
        <f>AU68+AU70</f>
        <v>0</v>
      </c>
      <c r="AV67" s="70">
        <f>AV68+AV70</f>
        <v>0</v>
      </c>
      <c r="AW67" s="70">
        <f>AW68+AW70</f>
        <v>43990</v>
      </c>
      <c r="AX67" s="70">
        <f aca="true" t="shared" si="73" ref="AX67:BD67">AX68+AX70</f>
        <v>0</v>
      </c>
      <c r="AY67" s="69">
        <f t="shared" si="73"/>
        <v>-1354</v>
      </c>
      <c r="AZ67" s="69">
        <f>AZ68+AZ70</f>
        <v>0</v>
      </c>
      <c r="BA67" s="69">
        <f>BA68+BA70</f>
        <v>0</v>
      </c>
      <c r="BB67" s="69">
        <f>BB68+BB70</f>
        <v>0</v>
      </c>
      <c r="BC67" s="69">
        <f t="shared" si="73"/>
        <v>0</v>
      </c>
      <c r="BD67" s="69">
        <f t="shared" si="73"/>
        <v>42636</v>
      </c>
      <c r="BE67" s="69">
        <f>BE68+BE70</f>
        <v>0</v>
      </c>
      <c r="BF67" s="69">
        <f>BF68+BF70</f>
        <v>0</v>
      </c>
      <c r="BG67" s="69">
        <f>BG68+BG70</f>
        <v>0</v>
      </c>
      <c r="BH67" s="69">
        <f>BH68+BH70</f>
        <v>0</v>
      </c>
      <c r="BI67" s="69">
        <f>BI68+BI70</f>
        <v>42636</v>
      </c>
      <c r="BJ67" s="69">
        <f aca="true" t="shared" si="74" ref="BJ67:BP67">BJ68+BJ70</f>
        <v>0</v>
      </c>
      <c r="BK67" s="69">
        <f t="shared" si="74"/>
        <v>0</v>
      </c>
      <c r="BL67" s="69">
        <f t="shared" si="74"/>
        <v>0</v>
      </c>
      <c r="BM67" s="69">
        <f t="shared" si="74"/>
        <v>0</v>
      </c>
      <c r="BN67" s="69">
        <f t="shared" si="74"/>
        <v>0</v>
      </c>
      <c r="BO67" s="69">
        <f t="shared" si="74"/>
        <v>42636</v>
      </c>
      <c r="BP67" s="69">
        <f t="shared" si="74"/>
        <v>0</v>
      </c>
      <c r="BQ67" s="69">
        <f>BQ68+BQ70</f>
        <v>-1</v>
      </c>
      <c r="BR67" s="69"/>
      <c r="BS67" s="69">
        <f aca="true" t="shared" si="75" ref="BS67:BX67">BS68+BS70</f>
        <v>0</v>
      </c>
      <c r="BT67" s="69">
        <f t="shared" si="75"/>
        <v>0</v>
      </c>
      <c r="BU67" s="69">
        <f t="shared" si="75"/>
        <v>42635</v>
      </c>
      <c r="BV67" s="69">
        <f t="shared" si="75"/>
        <v>0</v>
      </c>
      <c r="BW67" s="69">
        <f t="shared" si="75"/>
        <v>42236</v>
      </c>
      <c r="BX67" s="69">
        <f t="shared" si="75"/>
        <v>0</v>
      </c>
      <c r="BY67" s="71">
        <f>BW67/BU67*100</f>
        <v>99.0641491732145</v>
      </c>
      <c r="BZ67" s="72"/>
    </row>
    <row r="68" spans="1:78" ht="39.75" customHeight="1" hidden="1">
      <c r="A68" s="88" t="s">
        <v>35</v>
      </c>
      <c r="B68" s="89" t="s">
        <v>132</v>
      </c>
      <c r="C68" s="89" t="s">
        <v>148</v>
      </c>
      <c r="D68" s="90" t="s">
        <v>36</v>
      </c>
      <c r="E68" s="89"/>
      <c r="F68" s="75">
        <f>F69</f>
        <v>36117</v>
      </c>
      <c r="G68" s="75">
        <f>G69</f>
        <v>7539</v>
      </c>
      <c r="H68" s="75">
        <f>H69</f>
        <v>43656</v>
      </c>
      <c r="I68" s="75">
        <f aca="true" t="shared" si="76" ref="I68:BW68">I69</f>
        <v>0</v>
      </c>
      <c r="J68" s="75">
        <f t="shared" si="76"/>
        <v>0</v>
      </c>
      <c r="K68" s="75">
        <f t="shared" si="76"/>
        <v>0</v>
      </c>
      <c r="L68" s="75">
        <f t="shared" si="76"/>
        <v>0</v>
      </c>
      <c r="M68" s="75">
        <f t="shared" si="76"/>
        <v>43656</v>
      </c>
      <c r="N68" s="75">
        <f t="shared" si="76"/>
        <v>0</v>
      </c>
      <c r="O68" s="75">
        <f t="shared" si="76"/>
        <v>0</v>
      </c>
      <c r="P68" s="75">
        <f t="shared" si="76"/>
        <v>0</v>
      </c>
      <c r="Q68" s="75">
        <f t="shared" si="76"/>
        <v>0</v>
      </c>
      <c r="R68" s="75">
        <f t="shared" si="76"/>
        <v>0</v>
      </c>
      <c r="S68" s="75">
        <f t="shared" si="76"/>
        <v>43656</v>
      </c>
      <c r="T68" s="75">
        <f t="shared" si="76"/>
        <v>0</v>
      </c>
      <c r="U68" s="75">
        <f t="shared" si="76"/>
        <v>0</v>
      </c>
      <c r="V68" s="75">
        <f t="shared" si="76"/>
        <v>0</v>
      </c>
      <c r="W68" s="75">
        <f t="shared" si="76"/>
        <v>0</v>
      </c>
      <c r="X68" s="75">
        <f t="shared" si="76"/>
        <v>0</v>
      </c>
      <c r="Y68" s="75">
        <f t="shared" si="76"/>
        <v>0</v>
      </c>
      <c r="Z68" s="75">
        <f t="shared" si="76"/>
        <v>0</v>
      </c>
      <c r="AA68" s="75">
        <f t="shared" si="76"/>
        <v>0</v>
      </c>
      <c r="AB68" s="75">
        <f t="shared" si="76"/>
        <v>43656</v>
      </c>
      <c r="AC68" s="75">
        <f t="shared" si="76"/>
        <v>0</v>
      </c>
      <c r="AD68" s="75">
        <f t="shared" si="76"/>
        <v>15</v>
      </c>
      <c r="AE68" s="75">
        <f t="shared" si="76"/>
        <v>35</v>
      </c>
      <c r="AF68" s="75">
        <f t="shared" si="76"/>
        <v>0</v>
      </c>
      <c r="AG68" s="75">
        <f t="shared" si="76"/>
        <v>0</v>
      </c>
      <c r="AH68" s="75">
        <f t="shared" si="76"/>
        <v>0</v>
      </c>
      <c r="AI68" s="75">
        <f t="shared" si="76"/>
        <v>43706</v>
      </c>
      <c r="AJ68" s="75">
        <f t="shared" si="76"/>
        <v>0</v>
      </c>
      <c r="AK68" s="75">
        <f t="shared" si="76"/>
        <v>0</v>
      </c>
      <c r="AL68" s="75">
        <f t="shared" si="76"/>
        <v>43706</v>
      </c>
      <c r="AM68" s="75">
        <f t="shared" si="76"/>
        <v>0</v>
      </c>
      <c r="AN68" s="75">
        <f t="shared" si="76"/>
        <v>0</v>
      </c>
      <c r="AO68" s="75">
        <f t="shared" si="76"/>
        <v>28</v>
      </c>
      <c r="AP68" s="75">
        <f t="shared" si="76"/>
        <v>16</v>
      </c>
      <c r="AQ68" s="75">
        <f t="shared" si="76"/>
        <v>0</v>
      </c>
      <c r="AR68" s="75">
        <f t="shared" si="76"/>
        <v>43750</v>
      </c>
      <c r="AS68" s="75">
        <f t="shared" si="76"/>
        <v>0</v>
      </c>
      <c r="AT68" s="76">
        <f t="shared" si="76"/>
        <v>0</v>
      </c>
      <c r="AU68" s="76">
        <f t="shared" si="76"/>
        <v>0</v>
      </c>
      <c r="AV68" s="76">
        <f t="shared" si="76"/>
        <v>0</v>
      </c>
      <c r="AW68" s="76">
        <f t="shared" si="76"/>
        <v>43750</v>
      </c>
      <c r="AX68" s="76">
        <f t="shared" si="76"/>
        <v>0</v>
      </c>
      <c r="AY68" s="75">
        <f t="shared" si="76"/>
        <v>-1322</v>
      </c>
      <c r="AZ68" s="75">
        <f t="shared" si="76"/>
        <v>0</v>
      </c>
      <c r="BA68" s="75">
        <f t="shared" si="76"/>
        <v>0</v>
      </c>
      <c r="BB68" s="75">
        <f t="shared" si="76"/>
        <v>0</v>
      </c>
      <c r="BC68" s="75">
        <f t="shared" si="76"/>
        <v>0</v>
      </c>
      <c r="BD68" s="75">
        <f t="shared" si="76"/>
        <v>42428</v>
      </c>
      <c r="BE68" s="75">
        <f t="shared" si="76"/>
        <v>0</v>
      </c>
      <c r="BF68" s="75">
        <f t="shared" si="76"/>
        <v>0</v>
      </c>
      <c r="BG68" s="75">
        <f t="shared" si="76"/>
        <v>0</v>
      </c>
      <c r="BH68" s="75">
        <f t="shared" si="76"/>
        <v>0</v>
      </c>
      <c r="BI68" s="75">
        <f t="shared" si="76"/>
        <v>42428</v>
      </c>
      <c r="BJ68" s="75">
        <f t="shared" si="76"/>
        <v>0</v>
      </c>
      <c r="BK68" s="75">
        <f t="shared" si="76"/>
        <v>0</v>
      </c>
      <c r="BL68" s="75">
        <f t="shared" si="76"/>
        <v>0</v>
      </c>
      <c r="BM68" s="75">
        <f t="shared" si="76"/>
        <v>0</v>
      </c>
      <c r="BN68" s="75">
        <f t="shared" si="76"/>
        <v>0</v>
      </c>
      <c r="BO68" s="75">
        <f t="shared" si="76"/>
        <v>42428</v>
      </c>
      <c r="BP68" s="75">
        <f t="shared" si="76"/>
        <v>0</v>
      </c>
      <c r="BQ68" s="75">
        <f t="shared" si="76"/>
        <v>-1</v>
      </c>
      <c r="BR68" s="75"/>
      <c r="BS68" s="75">
        <f t="shared" si="76"/>
        <v>0</v>
      </c>
      <c r="BT68" s="75">
        <f t="shared" si="76"/>
        <v>0</v>
      </c>
      <c r="BU68" s="75">
        <f t="shared" si="76"/>
        <v>42427</v>
      </c>
      <c r="BV68" s="75">
        <f>BV69</f>
        <v>0</v>
      </c>
      <c r="BW68" s="75">
        <f t="shared" si="76"/>
        <v>42028</v>
      </c>
      <c r="BX68" s="75">
        <f>BX69</f>
        <v>0</v>
      </c>
      <c r="BY68" s="77">
        <f>BW68/BU68*100</f>
        <v>99.05956112852664</v>
      </c>
      <c r="BZ68" s="60"/>
    </row>
    <row r="69" spans="1:78" ht="37.5" customHeight="1" hidden="1">
      <c r="A69" s="88" t="s">
        <v>129</v>
      </c>
      <c r="B69" s="89" t="s">
        <v>132</v>
      </c>
      <c r="C69" s="89" t="s">
        <v>148</v>
      </c>
      <c r="D69" s="90" t="s">
        <v>36</v>
      </c>
      <c r="E69" s="89" t="s">
        <v>130</v>
      </c>
      <c r="F69" s="75">
        <v>36117</v>
      </c>
      <c r="G69" s="75">
        <f>H69-F69</f>
        <v>7539</v>
      </c>
      <c r="H69" s="75">
        <f>43896-240</f>
        <v>43656</v>
      </c>
      <c r="I69" s="51"/>
      <c r="J69" s="51"/>
      <c r="K69" s="51"/>
      <c r="L69" s="51"/>
      <c r="M69" s="75">
        <f>H69+J69+K69+L69</f>
        <v>43656</v>
      </c>
      <c r="N69" s="78">
        <f>I69+L69</f>
        <v>0</v>
      </c>
      <c r="O69" s="51"/>
      <c r="P69" s="78"/>
      <c r="Q69" s="78"/>
      <c r="R69" s="51"/>
      <c r="S69" s="75">
        <f>M69+O69+P69+Q69+R69</f>
        <v>43656</v>
      </c>
      <c r="T69" s="75">
        <f>N69+R69</f>
        <v>0</v>
      </c>
      <c r="U69" s="78"/>
      <c r="V69" s="78"/>
      <c r="W69" s="51"/>
      <c r="X69" s="78"/>
      <c r="Y69" s="51"/>
      <c r="Z69" s="51"/>
      <c r="AA69" s="51"/>
      <c r="AB69" s="75">
        <f>S69+U69+V69+W69+X69+Y69+Z69+AA69</f>
        <v>43656</v>
      </c>
      <c r="AC69" s="80">
        <f>T69+Z69+AA69</f>
        <v>0</v>
      </c>
      <c r="AD69" s="75">
        <v>15</v>
      </c>
      <c r="AE69" s="75">
        <v>35</v>
      </c>
      <c r="AF69" s="52"/>
      <c r="AG69" s="50"/>
      <c r="AH69" s="50"/>
      <c r="AI69" s="75">
        <f>AB69+AD69+AE69+AF69+AG69+AH69</f>
        <v>43706</v>
      </c>
      <c r="AJ69" s="75">
        <f>AC69+AH69</f>
        <v>0</v>
      </c>
      <c r="AK69" s="51"/>
      <c r="AL69" s="75">
        <f>AI69+AK69</f>
        <v>43706</v>
      </c>
      <c r="AM69" s="75">
        <f>AJ69</f>
        <v>0</v>
      </c>
      <c r="AN69" s="51"/>
      <c r="AO69" s="78">
        <v>28</v>
      </c>
      <c r="AP69" s="78">
        <v>16</v>
      </c>
      <c r="AQ69" s="51"/>
      <c r="AR69" s="75">
        <f>AL69+AN69+AO69+AP69+AQ69</f>
        <v>43750</v>
      </c>
      <c r="AS69" s="75">
        <f>AM69+AQ69</f>
        <v>0</v>
      </c>
      <c r="AT69" s="53"/>
      <c r="AU69" s="53"/>
      <c r="AV69" s="53"/>
      <c r="AW69" s="76">
        <f>AV69+AU69+AT69+AR69</f>
        <v>43750</v>
      </c>
      <c r="AX69" s="76">
        <f>AV69+AS69</f>
        <v>0</v>
      </c>
      <c r="AY69" s="75">
        <v>-1322</v>
      </c>
      <c r="AZ69" s="52"/>
      <c r="BA69" s="52"/>
      <c r="BB69" s="52"/>
      <c r="BC69" s="52"/>
      <c r="BD69" s="75">
        <f>AW69+AY69+AZ69+BA69+BB69+BC69</f>
        <v>42428</v>
      </c>
      <c r="BE69" s="75">
        <f>AX69+BC69</f>
        <v>0</v>
      </c>
      <c r="BF69" s="51"/>
      <c r="BG69" s="51"/>
      <c r="BH69" s="51"/>
      <c r="BI69" s="75">
        <f>BD69+BF69+BG69+BH69</f>
        <v>42428</v>
      </c>
      <c r="BJ69" s="75">
        <f>BE69+BH69</f>
        <v>0</v>
      </c>
      <c r="BK69" s="54"/>
      <c r="BL69" s="54"/>
      <c r="BM69" s="54"/>
      <c r="BN69" s="54"/>
      <c r="BO69" s="75">
        <f>BI69+BK69+BL69+BM69+BN69</f>
        <v>42428</v>
      </c>
      <c r="BP69" s="75">
        <f>BJ69+BN69</f>
        <v>0</v>
      </c>
      <c r="BQ69" s="78">
        <v>-1</v>
      </c>
      <c r="BR69" s="78"/>
      <c r="BS69" s="51"/>
      <c r="BT69" s="51"/>
      <c r="BU69" s="75">
        <f>BO69+BQ69+BS69+BT69</f>
        <v>42427</v>
      </c>
      <c r="BV69" s="75">
        <f>BP69+BT69</f>
        <v>0</v>
      </c>
      <c r="BW69" s="75">
        <v>42028</v>
      </c>
      <c r="BX69" s="75">
        <f>BR69+BV69</f>
        <v>0</v>
      </c>
      <c r="BY69" s="77">
        <f>BW69/BU69*100</f>
        <v>99.05956112852664</v>
      </c>
      <c r="BZ69" s="60"/>
    </row>
    <row r="70" spans="1:78" ht="37.5" customHeight="1" hidden="1">
      <c r="A70" s="88" t="s">
        <v>121</v>
      </c>
      <c r="B70" s="89" t="s">
        <v>132</v>
      </c>
      <c r="C70" s="89" t="s">
        <v>148</v>
      </c>
      <c r="D70" s="90" t="s">
        <v>122</v>
      </c>
      <c r="E70" s="89"/>
      <c r="F70" s="75">
        <f>F71</f>
        <v>0</v>
      </c>
      <c r="G70" s="75">
        <f>G71</f>
        <v>240</v>
      </c>
      <c r="H70" s="75">
        <f>H71</f>
        <v>240</v>
      </c>
      <c r="I70" s="75">
        <f aca="true" t="shared" si="77" ref="I70:BW70">I71</f>
        <v>0</v>
      </c>
      <c r="J70" s="75">
        <f t="shared" si="77"/>
        <v>0</v>
      </c>
      <c r="K70" s="75">
        <f t="shared" si="77"/>
        <v>0</v>
      </c>
      <c r="L70" s="75">
        <f t="shared" si="77"/>
        <v>0</v>
      </c>
      <c r="M70" s="75">
        <f t="shared" si="77"/>
        <v>240</v>
      </c>
      <c r="N70" s="75">
        <f t="shared" si="77"/>
        <v>0</v>
      </c>
      <c r="O70" s="75">
        <f t="shared" si="77"/>
        <v>0</v>
      </c>
      <c r="P70" s="75"/>
      <c r="Q70" s="75">
        <f t="shared" si="77"/>
        <v>0</v>
      </c>
      <c r="R70" s="75">
        <f t="shared" si="77"/>
        <v>0</v>
      </c>
      <c r="S70" s="75">
        <f t="shared" si="77"/>
        <v>240</v>
      </c>
      <c r="T70" s="75">
        <f t="shared" si="77"/>
        <v>0</v>
      </c>
      <c r="U70" s="75">
        <f t="shared" si="77"/>
        <v>0</v>
      </c>
      <c r="V70" s="75">
        <f t="shared" si="77"/>
        <v>0</v>
      </c>
      <c r="W70" s="75">
        <f t="shared" si="77"/>
        <v>0</v>
      </c>
      <c r="X70" s="75">
        <f t="shared" si="77"/>
        <v>0</v>
      </c>
      <c r="Y70" s="75">
        <f t="shared" si="77"/>
        <v>0</v>
      </c>
      <c r="Z70" s="75">
        <f t="shared" si="77"/>
        <v>0</v>
      </c>
      <c r="AA70" s="75">
        <f t="shared" si="77"/>
        <v>0</v>
      </c>
      <c r="AB70" s="75">
        <f t="shared" si="77"/>
        <v>240</v>
      </c>
      <c r="AC70" s="75">
        <f t="shared" si="77"/>
        <v>0</v>
      </c>
      <c r="AD70" s="75">
        <f t="shared" si="77"/>
        <v>0</v>
      </c>
      <c r="AE70" s="75">
        <f t="shared" si="77"/>
        <v>0</v>
      </c>
      <c r="AF70" s="75">
        <f t="shared" si="77"/>
        <v>0</v>
      </c>
      <c r="AG70" s="75">
        <f t="shared" si="77"/>
        <v>0</v>
      </c>
      <c r="AH70" s="75">
        <f t="shared" si="77"/>
        <v>0</v>
      </c>
      <c r="AI70" s="75">
        <f t="shared" si="77"/>
        <v>240</v>
      </c>
      <c r="AJ70" s="75">
        <f t="shared" si="77"/>
        <v>0</v>
      </c>
      <c r="AK70" s="75">
        <f t="shared" si="77"/>
        <v>0</v>
      </c>
      <c r="AL70" s="75">
        <f t="shared" si="77"/>
        <v>240</v>
      </c>
      <c r="AM70" s="75">
        <f t="shared" si="77"/>
        <v>0</v>
      </c>
      <c r="AN70" s="75">
        <f t="shared" si="77"/>
        <v>0</v>
      </c>
      <c r="AO70" s="75">
        <f t="shared" si="77"/>
        <v>0</v>
      </c>
      <c r="AP70" s="75">
        <f t="shared" si="77"/>
        <v>0</v>
      </c>
      <c r="AQ70" s="75">
        <f t="shared" si="77"/>
        <v>0</v>
      </c>
      <c r="AR70" s="75">
        <f t="shared" si="77"/>
        <v>240</v>
      </c>
      <c r="AS70" s="75">
        <f t="shared" si="77"/>
        <v>0</v>
      </c>
      <c r="AT70" s="76">
        <f t="shared" si="77"/>
        <v>0</v>
      </c>
      <c r="AU70" s="76">
        <f t="shared" si="77"/>
        <v>0</v>
      </c>
      <c r="AV70" s="76">
        <f t="shared" si="77"/>
        <v>0</v>
      </c>
      <c r="AW70" s="76">
        <f t="shared" si="77"/>
        <v>240</v>
      </c>
      <c r="AX70" s="76">
        <f t="shared" si="77"/>
        <v>0</v>
      </c>
      <c r="AY70" s="75">
        <f t="shared" si="77"/>
        <v>-32</v>
      </c>
      <c r="AZ70" s="75">
        <f t="shared" si="77"/>
        <v>0</v>
      </c>
      <c r="BA70" s="75">
        <f t="shared" si="77"/>
        <v>0</v>
      </c>
      <c r="BB70" s="75">
        <f t="shared" si="77"/>
        <v>0</v>
      </c>
      <c r="BC70" s="75">
        <f t="shared" si="77"/>
        <v>0</v>
      </c>
      <c r="BD70" s="75">
        <f t="shared" si="77"/>
        <v>208</v>
      </c>
      <c r="BE70" s="75">
        <f t="shared" si="77"/>
        <v>0</v>
      </c>
      <c r="BF70" s="75">
        <f t="shared" si="77"/>
        <v>0</v>
      </c>
      <c r="BG70" s="75">
        <f t="shared" si="77"/>
        <v>0</v>
      </c>
      <c r="BH70" s="75">
        <f t="shared" si="77"/>
        <v>0</v>
      </c>
      <c r="BI70" s="75">
        <f t="shared" si="77"/>
        <v>208</v>
      </c>
      <c r="BJ70" s="75">
        <f t="shared" si="77"/>
        <v>0</v>
      </c>
      <c r="BK70" s="75">
        <f t="shared" si="77"/>
        <v>0</v>
      </c>
      <c r="BL70" s="75">
        <f t="shared" si="77"/>
        <v>0</v>
      </c>
      <c r="BM70" s="75">
        <f t="shared" si="77"/>
        <v>0</v>
      </c>
      <c r="BN70" s="75">
        <f t="shared" si="77"/>
        <v>0</v>
      </c>
      <c r="BO70" s="75">
        <f t="shared" si="77"/>
        <v>208</v>
      </c>
      <c r="BP70" s="75">
        <f t="shared" si="77"/>
        <v>0</v>
      </c>
      <c r="BQ70" s="75">
        <f t="shared" si="77"/>
        <v>0</v>
      </c>
      <c r="BR70" s="75"/>
      <c r="BS70" s="75">
        <f t="shared" si="77"/>
        <v>0</v>
      </c>
      <c r="BT70" s="75">
        <f t="shared" si="77"/>
        <v>0</v>
      </c>
      <c r="BU70" s="75">
        <f t="shared" si="77"/>
        <v>208</v>
      </c>
      <c r="BV70" s="75">
        <f>BV71</f>
        <v>0</v>
      </c>
      <c r="BW70" s="75">
        <f t="shared" si="77"/>
        <v>208</v>
      </c>
      <c r="BX70" s="75">
        <f>BX71</f>
        <v>0</v>
      </c>
      <c r="BY70" s="77">
        <f>BW70/BU70*100</f>
        <v>100</v>
      </c>
      <c r="BZ70" s="60"/>
    </row>
    <row r="71" spans="1:78" ht="70.5" customHeight="1" hidden="1">
      <c r="A71" s="88" t="s">
        <v>138</v>
      </c>
      <c r="B71" s="89" t="s">
        <v>132</v>
      </c>
      <c r="C71" s="89" t="s">
        <v>148</v>
      </c>
      <c r="D71" s="90" t="s">
        <v>122</v>
      </c>
      <c r="E71" s="89" t="s">
        <v>139</v>
      </c>
      <c r="F71" s="75"/>
      <c r="G71" s="75">
        <f>H71-F71</f>
        <v>240</v>
      </c>
      <c r="H71" s="75">
        <v>240</v>
      </c>
      <c r="I71" s="51"/>
      <c r="J71" s="51"/>
      <c r="K71" s="51"/>
      <c r="L71" s="51"/>
      <c r="M71" s="75">
        <f>H71+J71+K71+L71</f>
        <v>240</v>
      </c>
      <c r="N71" s="78">
        <f>I71+L71</f>
        <v>0</v>
      </c>
      <c r="O71" s="51"/>
      <c r="P71" s="51"/>
      <c r="Q71" s="51"/>
      <c r="R71" s="51"/>
      <c r="S71" s="75">
        <f>M71+O71+P71+Q71+R71</f>
        <v>240</v>
      </c>
      <c r="T71" s="75">
        <f>N71+R71</f>
        <v>0</v>
      </c>
      <c r="U71" s="51"/>
      <c r="V71" s="51"/>
      <c r="W71" s="51"/>
      <c r="X71" s="51"/>
      <c r="Y71" s="51"/>
      <c r="Z71" s="51"/>
      <c r="AA71" s="51"/>
      <c r="AB71" s="75">
        <f>S71+U71+V71+W71+X71+Y71+Z71+AA71</f>
        <v>240</v>
      </c>
      <c r="AC71" s="80">
        <f>T71+Z71+AA71</f>
        <v>0</v>
      </c>
      <c r="AD71" s="50"/>
      <c r="AE71" s="50"/>
      <c r="AF71" s="52"/>
      <c r="AG71" s="50"/>
      <c r="AH71" s="50"/>
      <c r="AI71" s="75">
        <f>AB71+AD71+AE71+AF71+AG71+AH71</f>
        <v>240</v>
      </c>
      <c r="AJ71" s="75">
        <f>AC71+AH71</f>
        <v>0</v>
      </c>
      <c r="AK71" s="51"/>
      <c r="AL71" s="75">
        <f>AI71+AK71</f>
        <v>240</v>
      </c>
      <c r="AM71" s="75">
        <f>AJ71</f>
        <v>0</v>
      </c>
      <c r="AN71" s="51"/>
      <c r="AO71" s="51"/>
      <c r="AP71" s="51"/>
      <c r="AQ71" s="51"/>
      <c r="AR71" s="75">
        <f>AL71+AN71+AO71+AP71+AQ71</f>
        <v>240</v>
      </c>
      <c r="AS71" s="75">
        <f>AM71+AQ71</f>
        <v>0</v>
      </c>
      <c r="AT71" s="53"/>
      <c r="AU71" s="53"/>
      <c r="AV71" s="53"/>
      <c r="AW71" s="76">
        <f>AV71+AU71+AT71+AR71</f>
        <v>240</v>
      </c>
      <c r="AX71" s="76">
        <f>AV71+AS71</f>
        <v>0</v>
      </c>
      <c r="AY71" s="75">
        <v>-32</v>
      </c>
      <c r="AZ71" s="52"/>
      <c r="BA71" s="52"/>
      <c r="BB71" s="52"/>
      <c r="BC71" s="52"/>
      <c r="BD71" s="75">
        <f>AW71+AY71+AZ71+BA71+BB71+BC71</f>
        <v>208</v>
      </c>
      <c r="BE71" s="75">
        <f>AX71+BC71</f>
        <v>0</v>
      </c>
      <c r="BF71" s="51"/>
      <c r="BG71" s="51"/>
      <c r="BH71" s="51"/>
      <c r="BI71" s="75">
        <f>BD71+BF71+BG71+BH71</f>
        <v>208</v>
      </c>
      <c r="BJ71" s="75">
        <f>BE71+BH71</f>
        <v>0</v>
      </c>
      <c r="BK71" s="54"/>
      <c r="BL71" s="54"/>
      <c r="BM71" s="54"/>
      <c r="BN71" s="54"/>
      <c r="BO71" s="75">
        <f>BI71+BK71+BL71+BM71+BN71</f>
        <v>208</v>
      </c>
      <c r="BP71" s="75">
        <f>BJ71+BN71</f>
        <v>0</v>
      </c>
      <c r="BQ71" s="51"/>
      <c r="BR71" s="51"/>
      <c r="BS71" s="51"/>
      <c r="BT71" s="51"/>
      <c r="BU71" s="75">
        <f>BO71+BQ71+BS71+BT71</f>
        <v>208</v>
      </c>
      <c r="BV71" s="75">
        <f>BP71+BT71</f>
        <v>0</v>
      </c>
      <c r="BW71" s="75">
        <v>208</v>
      </c>
      <c r="BX71" s="75">
        <f>BR71+BV71</f>
        <v>0</v>
      </c>
      <c r="BY71" s="77">
        <f>BW71/BU71*100</f>
        <v>100</v>
      </c>
      <c r="BZ71" s="60"/>
    </row>
    <row r="72" spans="1:78" ht="20.25">
      <c r="A72" s="101"/>
      <c r="B72" s="83"/>
      <c r="C72" s="83"/>
      <c r="D72" s="84"/>
      <c r="E72" s="83"/>
      <c r="F72" s="50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2"/>
      <c r="T72" s="52"/>
      <c r="U72" s="51"/>
      <c r="V72" s="51"/>
      <c r="W72" s="51"/>
      <c r="X72" s="51"/>
      <c r="Y72" s="51"/>
      <c r="Z72" s="51"/>
      <c r="AA72" s="51"/>
      <c r="AB72" s="51"/>
      <c r="AC72" s="51"/>
      <c r="AD72" s="50"/>
      <c r="AE72" s="50"/>
      <c r="AF72" s="52"/>
      <c r="AG72" s="50"/>
      <c r="AH72" s="50"/>
      <c r="AI72" s="50"/>
      <c r="AJ72" s="50"/>
      <c r="AK72" s="51"/>
      <c r="AL72" s="51"/>
      <c r="AM72" s="51"/>
      <c r="AN72" s="51"/>
      <c r="AO72" s="51"/>
      <c r="AP72" s="51"/>
      <c r="AQ72" s="51"/>
      <c r="AR72" s="51"/>
      <c r="AS72" s="51"/>
      <c r="AT72" s="53"/>
      <c r="AU72" s="53"/>
      <c r="AV72" s="53"/>
      <c r="AW72" s="53"/>
      <c r="AX72" s="53"/>
      <c r="AY72" s="52"/>
      <c r="AZ72" s="52"/>
      <c r="BA72" s="52"/>
      <c r="BB72" s="52"/>
      <c r="BC72" s="52"/>
      <c r="BD72" s="54"/>
      <c r="BE72" s="54"/>
      <c r="BF72" s="51"/>
      <c r="BG72" s="51"/>
      <c r="BH72" s="51"/>
      <c r="BI72" s="51"/>
      <c r="BJ72" s="51"/>
      <c r="BK72" s="54"/>
      <c r="BL72" s="54"/>
      <c r="BM72" s="54"/>
      <c r="BN72" s="54"/>
      <c r="BO72" s="54"/>
      <c r="BP72" s="54"/>
      <c r="BQ72" s="51"/>
      <c r="BR72" s="51"/>
      <c r="BS72" s="51"/>
      <c r="BT72" s="51"/>
      <c r="BU72" s="51"/>
      <c r="BV72" s="51"/>
      <c r="BW72" s="51"/>
      <c r="BX72" s="51"/>
      <c r="BY72" s="60"/>
      <c r="BZ72" s="60"/>
    </row>
    <row r="73" spans="1:78" s="10" customFormat="1" ht="21.75" customHeight="1">
      <c r="A73" s="55" t="s">
        <v>37</v>
      </c>
      <c r="B73" s="56" t="s">
        <v>38</v>
      </c>
      <c r="C73" s="56"/>
      <c r="D73" s="57"/>
      <c r="E73" s="56"/>
      <c r="F73" s="120">
        <f aca="true" t="shared" si="78" ref="F73:AX73">F75+F79+F83+F104+F112+F116+F120</f>
        <v>430416</v>
      </c>
      <c r="G73" s="120">
        <f t="shared" si="78"/>
        <v>18683</v>
      </c>
      <c r="H73" s="120">
        <f t="shared" si="78"/>
        <v>449099</v>
      </c>
      <c r="I73" s="120">
        <f t="shared" si="78"/>
        <v>0</v>
      </c>
      <c r="J73" s="120">
        <f t="shared" si="78"/>
        <v>0</v>
      </c>
      <c r="K73" s="120">
        <f t="shared" si="78"/>
        <v>0</v>
      </c>
      <c r="L73" s="120">
        <f t="shared" si="78"/>
        <v>15938</v>
      </c>
      <c r="M73" s="120">
        <f t="shared" si="78"/>
        <v>465037</v>
      </c>
      <c r="N73" s="120">
        <f t="shared" si="78"/>
        <v>15938</v>
      </c>
      <c r="O73" s="120">
        <f t="shared" si="78"/>
        <v>0</v>
      </c>
      <c r="P73" s="120">
        <f t="shared" si="78"/>
        <v>0</v>
      </c>
      <c r="Q73" s="120">
        <f t="shared" si="78"/>
        <v>0</v>
      </c>
      <c r="R73" s="120">
        <f t="shared" si="78"/>
        <v>0</v>
      </c>
      <c r="S73" s="120">
        <f t="shared" si="78"/>
        <v>465037</v>
      </c>
      <c r="T73" s="120">
        <f t="shared" si="78"/>
        <v>15938</v>
      </c>
      <c r="U73" s="120">
        <f t="shared" si="78"/>
        <v>0</v>
      </c>
      <c r="V73" s="120">
        <f t="shared" si="78"/>
        <v>0</v>
      </c>
      <c r="W73" s="120">
        <f t="shared" si="78"/>
        <v>0</v>
      </c>
      <c r="X73" s="120">
        <f t="shared" si="78"/>
        <v>0</v>
      </c>
      <c r="Y73" s="120">
        <f t="shared" si="78"/>
        <v>24961</v>
      </c>
      <c r="Z73" s="120">
        <f t="shared" si="78"/>
        <v>0</v>
      </c>
      <c r="AA73" s="120">
        <f t="shared" si="78"/>
        <v>0</v>
      </c>
      <c r="AB73" s="120">
        <f t="shared" si="78"/>
        <v>489998</v>
      </c>
      <c r="AC73" s="120">
        <f t="shared" si="78"/>
        <v>15938</v>
      </c>
      <c r="AD73" s="120">
        <f t="shared" si="78"/>
        <v>0</v>
      </c>
      <c r="AE73" s="120">
        <f t="shared" si="78"/>
        <v>5</v>
      </c>
      <c r="AF73" s="120">
        <f t="shared" si="78"/>
        <v>-31101</v>
      </c>
      <c r="AG73" s="120">
        <f t="shared" si="78"/>
        <v>0</v>
      </c>
      <c r="AH73" s="120">
        <f t="shared" si="78"/>
        <v>0</v>
      </c>
      <c r="AI73" s="120">
        <f t="shared" si="78"/>
        <v>458902</v>
      </c>
      <c r="AJ73" s="120">
        <f t="shared" si="78"/>
        <v>15938</v>
      </c>
      <c r="AK73" s="120">
        <f t="shared" si="78"/>
        <v>0</v>
      </c>
      <c r="AL73" s="120">
        <f t="shared" si="78"/>
        <v>458902</v>
      </c>
      <c r="AM73" s="120">
        <f t="shared" si="78"/>
        <v>15938</v>
      </c>
      <c r="AN73" s="120">
        <f t="shared" si="78"/>
        <v>2293</v>
      </c>
      <c r="AO73" s="120">
        <f t="shared" si="78"/>
        <v>8</v>
      </c>
      <c r="AP73" s="120">
        <f t="shared" si="78"/>
        <v>0</v>
      </c>
      <c r="AQ73" s="120">
        <f t="shared" si="78"/>
        <v>15000</v>
      </c>
      <c r="AR73" s="120">
        <f t="shared" si="78"/>
        <v>476203</v>
      </c>
      <c r="AS73" s="120">
        <f t="shared" si="78"/>
        <v>30938</v>
      </c>
      <c r="AT73" s="121">
        <f t="shared" si="78"/>
        <v>2255</v>
      </c>
      <c r="AU73" s="121">
        <f t="shared" si="78"/>
        <v>-266</v>
      </c>
      <c r="AV73" s="121">
        <f t="shared" si="78"/>
        <v>0</v>
      </c>
      <c r="AW73" s="121">
        <f t="shared" si="78"/>
        <v>478192</v>
      </c>
      <c r="AX73" s="121">
        <f t="shared" si="78"/>
        <v>30938</v>
      </c>
      <c r="AY73" s="120">
        <f aca="true" t="shared" si="79" ref="AY73:BE73">AY75+AY79+AY83+AY104+AY112+AY116+AY120</f>
        <v>-25726</v>
      </c>
      <c r="AZ73" s="120">
        <f t="shared" si="79"/>
        <v>0</v>
      </c>
      <c r="BA73" s="120">
        <f t="shared" si="79"/>
        <v>500</v>
      </c>
      <c r="BB73" s="120">
        <f t="shared" si="79"/>
        <v>280</v>
      </c>
      <c r="BC73" s="120">
        <f t="shared" si="79"/>
        <v>0</v>
      </c>
      <c r="BD73" s="120">
        <f t="shared" si="79"/>
        <v>453246</v>
      </c>
      <c r="BE73" s="120">
        <f t="shared" si="79"/>
        <v>30938</v>
      </c>
      <c r="BF73" s="120">
        <f>BF75+BF79+BF83+BF104+BF112+BF116+BF120</f>
        <v>0</v>
      </c>
      <c r="BG73" s="120">
        <f>BG75+BG79+BG83+BG104+BG112+BG116+BG120</f>
        <v>0</v>
      </c>
      <c r="BH73" s="120">
        <f>BH75+BH79+BH83+BH104+BH112+BH116+BH120</f>
        <v>0</v>
      </c>
      <c r="BI73" s="120">
        <f>BI75+BI79+BI83+BI104+BI112+BI116+BI120</f>
        <v>453246</v>
      </c>
      <c r="BJ73" s="120">
        <f>BJ75+BJ79+BJ83+BJ104+BJ112+BJ116+BJ120</f>
        <v>30938</v>
      </c>
      <c r="BK73" s="120">
        <f aca="true" t="shared" si="80" ref="BK73:BP73">BK75+BK79+BK83+BK104+BK112+BK116+BK120</f>
        <v>4</v>
      </c>
      <c r="BL73" s="120">
        <f t="shared" si="80"/>
        <v>0</v>
      </c>
      <c r="BM73" s="120">
        <f t="shared" si="80"/>
        <v>2350</v>
      </c>
      <c r="BN73" s="120">
        <f t="shared" si="80"/>
        <v>23592</v>
      </c>
      <c r="BO73" s="120">
        <f t="shared" si="80"/>
        <v>479192</v>
      </c>
      <c r="BP73" s="120">
        <f t="shared" si="80"/>
        <v>54530</v>
      </c>
      <c r="BQ73" s="120">
        <f>BQ75+BQ79+BQ83+BQ104+BQ112+BQ116+BQ120</f>
        <v>-65</v>
      </c>
      <c r="BR73" s="120"/>
      <c r="BS73" s="120">
        <f aca="true" t="shared" si="81" ref="BS73:BX73">BS75+BS79+BS83+BS104+BS112+BS116+BS120</f>
        <v>3476</v>
      </c>
      <c r="BT73" s="120">
        <f t="shared" si="81"/>
        <v>8376</v>
      </c>
      <c r="BU73" s="120">
        <f t="shared" si="81"/>
        <v>490979</v>
      </c>
      <c r="BV73" s="120">
        <f t="shared" si="81"/>
        <v>62906</v>
      </c>
      <c r="BW73" s="120">
        <f t="shared" si="81"/>
        <v>447267</v>
      </c>
      <c r="BX73" s="120">
        <f t="shared" si="81"/>
        <v>55440</v>
      </c>
      <c r="BY73" s="60">
        <f>BW73/BU73*100</f>
        <v>91.09697156090178</v>
      </c>
      <c r="BZ73" s="60">
        <f>BX73/BV73*100</f>
        <v>88.13149779035386</v>
      </c>
    </row>
    <row r="74" spans="1:78" ht="14.25" customHeight="1">
      <c r="A74" s="123"/>
      <c r="B74" s="48"/>
      <c r="C74" s="48"/>
      <c r="D74" s="49"/>
      <c r="E74" s="48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50"/>
      <c r="AE74" s="50"/>
      <c r="AF74" s="52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124"/>
      <c r="AU74" s="124"/>
      <c r="AV74" s="124"/>
      <c r="AW74" s="124"/>
      <c r="AX74" s="124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60"/>
      <c r="BZ74" s="60"/>
    </row>
    <row r="75" spans="1:78" s="12" customFormat="1" ht="20.25">
      <c r="A75" s="66" t="s">
        <v>300</v>
      </c>
      <c r="B75" s="67" t="s">
        <v>135</v>
      </c>
      <c r="C75" s="67" t="s">
        <v>151</v>
      </c>
      <c r="D75" s="85"/>
      <c r="E75" s="67"/>
      <c r="F75" s="86">
        <f aca="true" t="shared" si="82" ref="F75:U76">F76</f>
        <v>7762</v>
      </c>
      <c r="G75" s="86">
        <f t="shared" si="82"/>
        <v>-3966</v>
      </c>
      <c r="H75" s="86">
        <f t="shared" si="82"/>
        <v>3796</v>
      </c>
      <c r="I75" s="86">
        <f t="shared" si="82"/>
        <v>0</v>
      </c>
      <c r="J75" s="86">
        <f t="shared" si="82"/>
        <v>0</v>
      </c>
      <c r="K75" s="86">
        <f t="shared" si="82"/>
        <v>0</v>
      </c>
      <c r="L75" s="86">
        <f t="shared" si="82"/>
        <v>0</v>
      </c>
      <c r="M75" s="86">
        <f t="shared" si="82"/>
        <v>3796</v>
      </c>
      <c r="N75" s="86">
        <f t="shared" si="82"/>
        <v>0</v>
      </c>
      <c r="O75" s="86">
        <f t="shared" si="82"/>
        <v>0</v>
      </c>
      <c r="P75" s="86"/>
      <c r="Q75" s="86">
        <f t="shared" si="82"/>
        <v>0</v>
      </c>
      <c r="R75" s="86">
        <f t="shared" si="82"/>
        <v>0</v>
      </c>
      <c r="S75" s="86">
        <f t="shared" si="82"/>
        <v>3796</v>
      </c>
      <c r="T75" s="86">
        <f t="shared" si="82"/>
        <v>0</v>
      </c>
      <c r="U75" s="86">
        <f t="shared" si="82"/>
        <v>0</v>
      </c>
      <c r="V75" s="86">
        <f aca="true" t="shared" si="83" ref="T75:AI76">V76</f>
        <v>0</v>
      </c>
      <c r="W75" s="86">
        <f t="shared" si="83"/>
        <v>0</v>
      </c>
      <c r="X75" s="86">
        <f t="shared" si="83"/>
        <v>0</v>
      </c>
      <c r="Y75" s="86">
        <f t="shared" si="83"/>
        <v>0</v>
      </c>
      <c r="Z75" s="86">
        <f t="shared" si="83"/>
        <v>0</v>
      </c>
      <c r="AA75" s="86">
        <f t="shared" si="83"/>
        <v>0</v>
      </c>
      <c r="AB75" s="86">
        <f t="shared" si="83"/>
        <v>3796</v>
      </c>
      <c r="AC75" s="86">
        <f t="shared" si="83"/>
        <v>0</v>
      </c>
      <c r="AD75" s="86">
        <f t="shared" si="83"/>
        <v>0</v>
      </c>
      <c r="AE75" s="86">
        <f t="shared" si="83"/>
        <v>0</v>
      </c>
      <c r="AF75" s="86">
        <f t="shared" si="83"/>
        <v>-3047</v>
      </c>
      <c r="AG75" s="86">
        <f t="shared" si="83"/>
        <v>0</v>
      </c>
      <c r="AH75" s="86">
        <f t="shared" si="83"/>
        <v>0</v>
      </c>
      <c r="AI75" s="86">
        <f t="shared" si="83"/>
        <v>749</v>
      </c>
      <c r="AJ75" s="86">
        <f>AJ76</f>
        <v>0</v>
      </c>
      <c r="AK75" s="86">
        <f aca="true" t="shared" si="84" ref="AK75:AZ76">AK76</f>
        <v>0</v>
      </c>
      <c r="AL75" s="86">
        <f t="shared" si="84"/>
        <v>749</v>
      </c>
      <c r="AM75" s="86">
        <f t="shared" si="84"/>
        <v>0</v>
      </c>
      <c r="AN75" s="86">
        <f t="shared" si="84"/>
        <v>0</v>
      </c>
      <c r="AO75" s="86">
        <f t="shared" si="84"/>
        <v>0</v>
      </c>
      <c r="AP75" s="86">
        <f t="shared" si="84"/>
        <v>0</v>
      </c>
      <c r="AQ75" s="86">
        <f t="shared" si="84"/>
        <v>0</v>
      </c>
      <c r="AR75" s="86">
        <f t="shared" si="84"/>
        <v>749</v>
      </c>
      <c r="AS75" s="86">
        <f t="shared" si="84"/>
        <v>0</v>
      </c>
      <c r="AT75" s="87">
        <f t="shared" si="84"/>
        <v>-23</v>
      </c>
      <c r="AU75" s="87">
        <f t="shared" si="84"/>
        <v>0</v>
      </c>
      <c r="AV75" s="87">
        <f t="shared" si="84"/>
        <v>0</v>
      </c>
      <c r="AW75" s="87">
        <f t="shared" si="84"/>
        <v>726</v>
      </c>
      <c r="AX75" s="87">
        <f t="shared" si="84"/>
        <v>0</v>
      </c>
      <c r="AY75" s="86">
        <f t="shared" si="84"/>
        <v>0</v>
      </c>
      <c r="AZ75" s="86">
        <f t="shared" si="84"/>
        <v>0</v>
      </c>
      <c r="BA75" s="86"/>
      <c r="BB75" s="86"/>
      <c r="BC75" s="86">
        <f aca="true" t="shared" si="85" ref="AY75:BN76">BC76</f>
        <v>0</v>
      </c>
      <c r="BD75" s="86">
        <f t="shared" si="85"/>
        <v>726</v>
      </c>
      <c r="BE75" s="86">
        <f t="shared" si="85"/>
        <v>0</v>
      </c>
      <c r="BF75" s="86">
        <f t="shared" si="85"/>
        <v>0</v>
      </c>
      <c r="BG75" s="86">
        <f t="shared" si="85"/>
        <v>0</v>
      </c>
      <c r="BH75" s="86">
        <f t="shared" si="85"/>
        <v>0</v>
      </c>
      <c r="BI75" s="86">
        <f t="shared" si="85"/>
        <v>726</v>
      </c>
      <c r="BJ75" s="86">
        <f t="shared" si="85"/>
        <v>0</v>
      </c>
      <c r="BK75" s="86">
        <f t="shared" si="85"/>
        <v>0</v>
      </c>
      <c r="BL75" s="86">
        <f t="shared" si="85"/>
        <v>0</v>
      </c>
      <c r="BM75" s="86">
        <f t="shared" si="85"/>
        <v>0</v>
      </c>
      <c r="BN75" s="86">
        <f t="shared" si="85"/>
        <v>0</v>
      </c>
      <c r="BO75" s="86">
        <f aca="true" t="shared" si="86" ref="BK75:BX76">BO76</f>
        <v>726</v>
      </c>
      <c r="BP75" s="86">
        <f t="shared" si="86"/>
        <v>0</v>
      </c>
      <c r="BQ75" s="86">
        <f t="shared" si="86"/>
        <v>0</v>
      </c>
      <c r="BR75" s="86"/>
      <c r="BS75" s="86">
        <f t="shared" si="86"/>
        <v>0</v>
      </c>
      <c r="BT75" s="86">
        <f t="shared" si="86"/>
        <v>0</v>
      </c>
      <c r="BU75" s="86">
        <f t="shared" si="86"/>
        <v>726</v>
      </c>
      <c r="BV75" s="86">
        <f t="shared" si="86"/>
        <v>0</v>
      </c>
      <c r="BW75" s="86">
        <f t="shared" si="86"/>
        <v>291</v>
      </c>
      <c r="BX75" s="86">
        <f t="shared" si="86"/>
        <v>0</v>
      </c>
      <c r="BY75" s="71">
        <f>BW75/BU75*100</f>
        <v>40.082644628099175</v>
      </c>
      <c r="BZ75" s="72"/>
    </row>
    <row r="76" spans="1:78" s="14" customFormat="1" ht="48.75" customHeight="1" hidden="1">
      <c r="A76" s="88" t="s">
        <v>152</v>
      </c>
      <c r="B76" s="89" t="s">
        <v>135</v>
      </c>
      <c r="C76" s="89" t="s">
        <v>151</v>
      </c>
      <c r="D76" s="90" t="s">
        <v>39</v>
      </c>
      <c r="E76" s="89"/>
      <c r="F76" s="91">
        <f t="shared" si="82"/>
        <v>7762</v>
      </c>
      <c r="G76" s="91">
        <f t="shared" si="82"/>
        <v>-3966</v>
      </c>
      <c r="H76" s="91">
        <f t="shared" si="82"/>
        <v>3796</v>
      </c>
      <c r="I76" s="91">
        <f t="shared" si="82"/>
        <v>0</v>
      </c>
      <c r="J76" s="91">
        <f t="shared" si="82"/>
        <v>0</v>
      </c>
      <c r="K76" s="91">
        <f t="shared" si="82"/>
        <v>0</v>
      </c>
      <c r="L76" s="91">
        <f t="shared" si="82"/>
        <v>0</v>
      </c>
      <c r="M76" s="91">
        <f t="shared" si="82"/>
        <v>3796</v>
      </c>
      <c r="N76" s="91">
        <f t="shared" si="82"/>
        <v>0</v>
      </c>
      <c r="O76" s="91">
        <f t="shared" si="82"/>
        <v>0</v>
      </c>
      <c r="P76" s="91"/>
      <c r="Q76" s="91">
        <f t="shared" si="82"/>
        <v>0</v>
      </c>
      <c r="R76" s="91">
        <f t="shared" si="82"/>
        <v>0</v>
      </c>
      <c r="S76" s="91">
        <f t="shared" si="82"/>
        <v>3796</v>
      </c>
      <c r="T76" s="91">
        <f t="shared" si="83"/>
        <v>0</v>
      </c>
      <c r="U76" s="91">
        <f t="shared" si="83"/>
        <v>0</v>
      </c>
      <c r="V76" s="91">
        <f t="shared" si="83"/>
        <v>0</v>
      </c>
      <c r="W76" s="91">
        <f t="shared" si="83"/>
        <v>0</v>
      </c>
      <c r="X76" s="91">
        <f t="shared" si="83"/>
        <v>0</v>
      </c>
      <c r="Y76" s="91">
        <f t="shared" si="83"/>
        <v>0</v>
      </c>
      <c r="Z76" s="91">
        <f t="shared" si="83"/>
        <v>0</v>
      </c>
      <c r="AA76" s="91">
        <f t="shared" si="83"/>
        <v>0</v>
      </c>
      <c r="AB76" s="91">
        <f t="shared" si="83"/>
        <v>3796</v>
      </c>
      <c r="AC76" s="91">
        <f t="shared" si="83"/>
        <v>0</v>
      </c>
      <c r="AD76" s="91">
        <f t="shared" si="83"/>
        <v>0</v>
      </c>
      <c r="AE76" s="91">
        <f t="shared" si="83"/>
        <v>0</v>
      </c>
      <c r="AF76" s="91">
        <f t="shared" si="83"/>
        <v>-3047</v>
      </c>
      <c r="AG76" s="91">
        <f t="shared" si="83"/>
        <v>0</v>
      </c>
      <c r="AH76" s="91">
        <f t="shared" si="83"/>
        <v>0</v>
      </c>
      <c r="AI76" s="91">
        <f t="shared" si="83"/>
        <v>749</v>
      </c>
      <c r="AJ76" s="91">
        <f>AJ77</f>
        <v>0</v>
      </c>
      <c r="AK76" s="91">
        <f t="shared" si="84"/>
        <v>0</v>
      </c>
      <c r="AL76" s="91">
        <f t="shared" si="84"/>
        <v>749</v>
      </c>
      <c r="AM76" s="91">
        <f t="shared" si="84"/>
        <v>0</v>
      </c>
      <c r="AN76" s="91">
        <f t="shared" si="84"/>
        <v>0</v>
      </c>
      <c r="AO76" s="91">
        <f t="shared" si="84"/>
        <v>0</v>
      </c>
      <c r="AP76" s="91">
        <f t="shared" si="84"/>
        <v>0</v>
      </c>
      <c r="AQ76" s="91">
        <f t="shared" si="84"/>
        <v>0</v>
      </c>
      <c r="AR76" s="91">
        <f t="shared" si="84"/>
        <v>749</v>
      </c>
      <c r="AS76" s="91">
        <f t="shared" si="84"/>
        <v>0</v>
      </c>
      <c r="AT76" s="92">
        <f>AT77</f>
        <v>-23</v>
      </c>
      <c r="AU76" s="92"/>
      <c r="AV76" s="92">
        <f t="shared" si="84"/>
        <v>0</v>
      </c>
      <c r="AW76" s="92">
        <f t="shared" si="84"/>
        <v>726</v>
      </c>
      <c r="AX76" s="92">
        <f t="shared" si="84"/>
        <v>0</v>
      </c>
      <c r="AY76" s="91">
        <f t="shared" si="85"/>
        <v>0</v>
      </c>
      <c r="AZ76" s="91">
        <f t="shared" si="85"/>
        <v>0</v>
      </c>
      <c r="BA76" s="91">
        <f t="shared" si="85"/>
        <v>0</v>
      </c>
      <c r="BB76" s="91">
        <f t="shared" si="85"/>
        <v>0</v>
      </c>
      <c r="BC76" s="91">
        <f t="shared" si="85"/>
        <v>0</v>
      </c>
      <c r="BD76" s="91">
        <f t="shared" si="85"/>
        <v>726</v>
      </c>
      <c r="BE76" s="91">
        <f t="shared" si="85"/>
        <v>0</v>
      </c>
      <c r="BF76" s="91">
        <f t="shared" si="85"/>
        <v>0</v>
      </c>
      <c r="BG76" s="91">
        <f t="shared" si="85"/>
        <v>0</v>
      </c>
      <c r="BH76" s="91">
        <f t="shared" si="85"/>
        <v>0</v>
      </c>
      <c r="BI76" s="91">
        <f t="shared" si="85"/>
        <v>726</v>
      </c>
      <c r="BJ76" s="91">
        <f t="shared" si="85"/>
        <v>0</v>
      </c>
      <c r="BK76" s="91">
        <f t="shared" si="86"/>
        <v>0</v>
      </c>
      <c r="BL76" s="91">
        <f t="shared" si="86"/>
        <v>0</v>
      </c>
      <c r="BM76" s="91">
        <f t="shared" si="86"/>
        <v>0</v>
      </c>
      <c r="BN76" s="91">
        <f t="shared" si="86"/>
        <v>0</v>
      </c>
      <c r="BO76" s="91">
        <f t="shared" si="86"/>
        <v>726</v>
      </c>
      <c r="BP76" s="91">
        <f t="shared" si="86"/>
        <v>0</v>
      </c>
      <c r="BQ76" s="91">
        <f t="shared" si="86"/>
        <v>0</v>
      </c>
      <c r="BR76" s="91"/>
      <c r="BS76" s="91">
        <f t="shared" si="86"/>
        <v>0</v>
      </c>
      <c r="BT76" s="91">
        <f t="shared" si="86"/>
        <v>0</v>
      </c>
      <c r="BU76" s="91">
        <f t="shared" si="86"/>
        <v>726</v>
      </c>
      <c r="BV76" s="91">
        <f t="shared" si="86"/>
        <v>0</v>
      </c>
      <c r="BW76" s="91">
        <f t="shared" si="86"/>
        <v>291</v>
      </c>
      <c r="BX76" s="91">
        <f t="shared" si="86"/>
        <v>0</v>
      </c>
      <c r="BY76" s="77">
        <f>BW76/BU76*100</f>
        <v>40.082644628099175</v>
      </c>
      <c r="BZ76" s="72"/>
    </row>
    <row r="77" spans="1:78" s="14" customFormat="1" ht="102.75" customHeight="1" hidden="1">
      <c r="A77" s="88" t="s">
        <v>360</v>
      </c>
      <c r="B77" s="89" t="s">
        <v>135</v>
      </c>
      <c r="C77" s="89" t="s">
        <v>151</v>
      </c>
      <c r="D77" s="90" t="s">
        <v>39</v>
      </c>
      <c r="E77" s="89" t="s">
        <v>153</v>
      </c>
      <c r="F77" s="75">
        <v>7762</v>
      </c>
      <c r="G77" s="75">
        <f>H77-F77</f>
        <v>-3966</v>
      </c>
      <c r="H77" s="75">
        <v>3796</v>
      </c>
      <c r="I77" s="78"/>
      <c r="J77" s="78"/>
      <c r="K77" s="78"/>
      <c r="L77" s="78"/>
      <c r="M77" s="75">
        <f>H77+J77+K77+L77</f>
        <v>3796</v>
      </c>
      <c r="N77" s="78">
        <f>I77+L77</f>
        <v>0</v>
      </c>
      <c r="O77" s="78"/>
      <c r="P77" s="78"/>
      <c r="Q77" s="79"/>
      <c r="R77" s="79"/>
      <c r="S77" s="75">
        <f>M77+O77+P77+Q77+R77</f>
        <v>3796</v>
      </c>
      <c r="T77" s="75">
        <f>N77+R77</f>
        <v>0</v>
      </c>
      <c r="U77" s="79"/>
      <c r="V77" s="79"/>
      <c r="W77" s="79"/>
      <c r="X77" s="79"/>
      <c r="Y77" s="79"/>
      <c r="Z77" s="79"/>
      <c r="AA77" s="79"/>
      <c r="AB77" s="75">
        <f>S77+U77+V77+W77+X77+Y77+Z77+AA77</f>
        <v>3796</v>
      </c>
      <c r="AC77" s="80">
        <f>T77+Z77+AA77</f>
        <v>0</v>
      </c>
      <c r="AD77" s="80"/>
      <c r="AE77" s="80"/>
      <c r="AF77" s="75">
        <v>-3047</v>
      </c>
      <c r="AG77" s="80"/>
      <c r="AH77" s="80"/>
      <c r="AI77" s="75">
        <f>AB77+AD77+AE77+AF77+AG77+AH77</f>
        <v>749</v>
      </c>
      <c r="AJ77" s="75">
        <f>AC77+AH77</f>
        <v>0</v>
      </c>
      <c r="AK77" s="79"/>
      <c r="AL77" s="75">
        <f>AI77+AK77</f>
        <v>749</v>
      </c>
      <c r="AM77" s="75">
        <f>AJ77</f>
        <v>0</v>
      </c>
      <c r="AN77" s="79"/>
      <c r="AO77" s="79"/>
      <c r="AP77" s="79"/>
      <c r="AQ77" s="79"/>
      <c r="AR77" s="75">
        <f>AL77+AN77+AO77+AP77+AQ77</f>
        <v>749</v>
      </c>
      <c r="AS77" s="75">
        <f>AM77+AQ77</f>
        <v>0</v>
      </c>
      <c r="AT77" s="81">
        <v>-23</v>
      </c>
      <c r="AU77" s="81"/>
      <c r="AV77" s="81"/>
      <c r="AW77" s="76">
        <f>AV77+AU77+AT77+AR77</f>
        <v>726</v>
      </c>
      <c r="AX77" s="76">
        <f>AV77+AS77</f>
        <v>0</v>
      </c>
      <c r="AY77" s="75"/>
      <c r="AZ77" s="75"/>
      <c r="BA77" s="75"/>
      <c r="BB77" s="75"/>
      <c r="BC77" s="75"/>
      <c r="BD77" s="75">
        <f>AW77+AY77+AZ77+BA77+BB77+BC77</f>
        <v>726</v>
      </c>
      <c r="BE77" s="75">
        <f>AX77+BC77</f>
        <v>0</v>
      </c>
      <c r="BF77" s="79"/>
      <c r="BG77" s="79"/>
      <c r="BH77" s="79"/>
      <c r="BI77" s="75">
        <f>BD77+BF77+BG77+BH77</f>
        <v>726</v>
      </c>
      <c r="BJ77" s="75">
        <f>BE77+BH77</f>
        <v>0</v>
      </c>
      <c r="BK77" s="78"/>
      <c r="BL77" s="78"/>
      <c r="BM77" s="78"/>
      <c r="BN77" s="78"/>
      <c r="BO77" s="75">
        <f>BI77+BK77+BL77+BM77+BN77</f>
        <v>726</v>
      </c>
      <c r="BP77" s="75">
        <f>BJ77+BN77</f>
        <v>0</v>
      </c>
      <c r="BQ77" s="79"/>
      <c r="BR77" s="79"/>
      <c r="BS77" s="79"/>
      <c r="BT77" s="79"/>
      <c r="BU77" s="75">
        <f>BO77+BQ77+BS77+BT77</f>
        <v>726</v>
      </c>
      <c r="BV77" s="75">
        <f>BP77+BT77</f>
        <v>0</v>
      </c>
      <c r="BW77" s="75">
        <v>291</v>
      </c>
      <c r="BX77" s="75">
        <f>BR77+BV77</f>
        <v>0</v>
      </c>
      <c r="BY77" s="77">
        <f>BW77/BU77*100</f>
        <v>40.082644628099175</v>
      </c>
      <c r="BZ77" s="72"/>
    </row>
    <row r="78" spans="1:78" ht="15" customHeight="1">
      <c r="A78" s="125"/>
      <c r="B78" s="83"/>
      <c r="C78" s="83"/>
      <c r="D78" s="84"/>
      <c r="E78" s="83"/>
      <c r="F78" s="52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1"/>
      <c r="R78" s="51"/>
      <c r="S78" s="52"/>
      <c r="T78" s="52"/>
      <c r="U78" s="51"/>
      <c r="V78" s="51"/>
      <c r="W78" s="51"/>
      <c r="X78" s="51"/>
      <c r="Y78" s="51"/>
      <c r="Z78" s="51"/>
      <c r="AA78" s="51"/>
      <c r="AB78" s="51"/>
      <c r="AC78" s="51"/>
      <c r="AD78" s="50"/>
      <c r="AE78" s="50"/>
      <c r="AF78" s="52"/>
      <c r="AG78" s="50"/>
      <c r="AH78" s="50"/>
      <c r="AI78" s="50"/>
      <c r="AJ78" s="50"/>
      <c r="AK78" s="51"/>
      <c r="AL78" s="51"/>
      <c r="AM78" s="51"/>
      <c r="AN78" s="51"/>
      <c r="AO78" s="51"/>
      <c r="AP78" s="51"/>
      <c r="AQ78" s="51"/>
      <c r="AR78" s="51"/>
      <c r="AS78" s="51"/>
      <c r="AT78" s="53"/>
      <c r="AU78" s="53"/>
      <c r="AV78" s="53"/>
      <c r="AW78" s="53"/>
      <c r="AX78" s="53"/>
      <c r="AY78" s="52"/>
      <c r="AZ78" s="52"/>
      <c r="BA78" s="52"/>
      <c r="BB78" s="52"/>
      <c r="BC78" s="52"/>
      <c r="BD78" s="54"/>
      <c r="BE78" s="54"/>
      <c r="BF78" s="51"/>
      <c r="BG78" s="51"/>
      <c r="BH78" s="51"/>
      <c r="BI78" s="51"/>
      <c r="BJ78" s="51"/>
      <c r="BK78" s="54"/>
      <c r="BL78" s="54"/>
      <c r="BM78" s="54"/>
      <c r="BN78" s="54"/>
      <c r="BO78" s="54"/>
      <c r="BP78" s="54"/>
      <c r="BQ78" s="51"/>
      <c r="BR78" s="51"/>
      <c r="BS78" s="51"/>
      <c r="BT78" s="51"/>
      <c r="BU78" s="51"/>
      <c r="BV78" s="51"/>
      <c r="BW78" s="51"/>
      <c r="BX78" s="51"/>
      <c r="BY78" s="72"/>
      <c r="BZ78" s="72"/>
    </row>
    <row r="79" spans="1:78" s="12" customFormat="1" ht="20.25">
      <c r="A79" s="66" t="s">
        <v>40</v>
      </c>
      <c r="B79" s="67" t="s">
        <v>135</v>
      </c>
      <c r="C79" s="67" t="s">
        <v>136</v>
      </c>
      <c r="D79" s="85"/>
      <c r="E79" s="67"/>
      <c r="F79" s="69">
        <f aca="true" t="shared" si="87" ref="F79:U80">F80</f>
        <v>3185</v>
      </c>
      <c r="G79" s="69">
        <f t="shared" si="87"/>
        <v>57</v>
      </c>
      <c r="H79" s="69">
        <f t="shared" si="87"/>
        <v>3242</v>
      </c>
      <c r="I79" s="69">
        <f t="shared" si="87"/>
        <v>0</v>
      </c>
      <c r="J79" s="69">
        <f t="shared" si="87"/>
        <v>0</v>
      </c>
      <c r="K79" s="69">
        <f t="shared" si="87"/>
        <v>0</v>
      </c>
      <c r="L79" s="69">
        <f t="shared" si="87"/>
        <v>0</v>
      </c>
      <c r="M79" s="69">
        <f t="shared" si="87"/>
        <v>3242</v>
      </c>
      <c r="N79" s="69">
        <f t="shared" si="87"/>
        <v>0</v>
      </c>
      <c r="O79" s="69">
        <f t="shared" si="87"/>
        <v>0</v>
      </c>
      <c r="P79" s="69"/>
      <c r="Q79" s="69">
        <f t="shared" si="87"/>
        <v>0</v>
      </c>
      <c r="R79" s="69">
        <f t="shared" si="87"/>
        <v>0</v>
      </c>
      <c r="S79" s="69">
        <f t="shared" si="87"/>
        <v>3242</v>
      </c>
      <c r="T79" s="69">
        <f t="shared" si="87"/>
        <v>0</v>
      </c>
      <c r="U79" s="69">
        <f t="shared" si="87"/>
        <v>0</v>
      </c>
      <c r="V79" s="69">
        <f aca="true" t="shared" si="88" ref="T79:AJ80">V80</f>
        <v>0</v>
      </c>
      <c r="W79" s="69">
        <f t="shared" si="88"/>
        <v>0</v>
      </c>
      <c r="X79" s="69">
        <f t="shared" si="88"/>
        <v>0</v>
      </c>
      <c r="Y79" s="69">
        <f t="shared" si="88"/>
        <v>0</v>
      </c>
      <c r="Z79" s="69">
        <f t="shared" si="88"/>
        <v>0</v>
      </c>
      <c r="AA79" s="69">
        <f t="shared" si="88"/>
        <v>0</v>
      </c>
      <c r="AB79" s="69">
        <f t="shared" si="88"/>
        <v>3242</v>
      </c>
      <c r="AC79" s="69">
        <f t="shared" si="88"/>
        <v>0</v>
      </c>
      <c r="AD79" s="69">
        <f t="shared" si="88"/>
        <v>0</v>
      </c>
      <c r="AE79" s="69">
        <f t="shared" si="88"/>
        <v>0</v>
      </c>
      <c r="AF79" s="69">
        <f t="shared" si="88"/>
        <v>0</v>
      </c>
      <c r="AG79" s="69">
        <f t="shared" si="88"/>
        <v>0</v>
      </c>
      <c r="AH79" s="69">
        <f t="shared" si="88"/>
        <v>0</v>
      </c>
      <c r="AI79" s="69">
        <f t="shared" si="88"/>
        <v>3242</v>
      </c>
      <c r="AJ79" s="69">
        <f t="shared" si="88"/>
        <v>0</v>
      </c>
      <c r="AK79" s="69">
        <f>AK80</f>
        <v>0</v>
      </c>
      <c r="AL79" s="69">
        <f>AL80</f>
        <v>3242</v>
      </c>
      <c r="AM79" s="69">
        <f aca="true" t="shared" si="89" ref="AM79:BX79">AM80</f>
        <v>0</v>
      </c>
      <c r="AN79" s="69">
        <f t="shared" si="89"/>
        <v>0</v>
      </c>
      <c r="AO79" s="69">
        <f t="shared" si="89"/>
        <v>0</v>
      </c>
      <c r="AP79" s="69">
        <f t="shared" si="89"/>
        <v>0</v>
      </c>
      <c r="AQ79" s="69">
        <f t="shared" si="89"/>
        <v>0</v>
      </c>
      <c r="AR79" s="69">
        <f t="shared" si="89"/>
        <v>3242</v>
      </c>
      <c r="AS79" s="69">
        <f t="shared" si="89"/>
        <v>0</v>
      </c>
      <c r="AT79" s="70">
        <f t="shared" si="89"/>
        <v>0</v>
      </c>
      <c r="AU79" s="70">
        <f t="shared" si="89"/>
        <v>0</v>
      </c>
      <c r="AV79" s="70">
        <f t="shared" si="89"/>
        <v>0</v>
      </c>
      <c r="AW79" s="70">
        <f t="shared" si="89"/>
        <v>3242</v>
      </c>
      <c r="AX79" s="70">
        <f t="shared" si="89"/>
        <v>0</v>
      </c>
      <c r="AY79" s="69">
        <f t="shared" si="89"/>
        <v>0</v>
      </c>
      <c r="AZ79" s="69">
        <f t="shared" si="89"/>
        <v>0</v>
      </c>
      <c r="BA79" s="69">
        <f t="shared" si="89"/>
        <v>0</v>
      </c>
      <c r="BB79" s="69">
        <f t="shared" si="89"/>
        <v>0</v>
      </c>
      <c r="BC79" s="69">
        <f t="shared" si="89"/>
        <v>0</v>
      </c>
      <c r="BD79" s="69">
        <f t="shared" si="89"/>
        <v>3242</v>
      </c>
      <c r="BE79" s="69">
        <f t="shared" si="89"/>
        <v>0</v>
      </c>
      <c r="BF79" s="69">
        <f t="shared" si="89"/>
        <v>0</v>
      </c>
      <c r="BG79" s="69">
        <f t="shared" si="89"/>
        <v>0</v>
      </c>
      <c r="BH79" s="69">
        <f t="shared" si="89"/>
        <v>0</v>
      </c>
      <c r="BI79" s="69">
        <f t="shared" si="89"/>
        <v>3242</v>
      </c>
      <c r="BJ79" s="69">
        <f t="shared" si="89"/>
        <v>0</v>
      </c>
      <c r="BK79" s="69">
        <f t="shared" si="89"/>
        <v>0</v>
      </c>
      <c r="BL79" s="69">
        <f t="shared" si="89"/>
        <v>0</v>
      </c>
      <c r="BM79" s="69">
        <f t="shared" si="89"/>
        <v>0</v>
      </c>
      <c r="BN79" s="69">
        <f t="shared" si="89"/>
        <v>0</v>
      </c>
      <c r="BO79" s="69">
        <f t="shared" si="89"/>
        <v>3242</v>
      </c>
      <c r="BP79" s="69">
        <f t="shared" si="89"/>
        <v>0</v>
      </c>
      <c r="BQ79" s="69">
        <f t="shared" si="89"/>
        <v>0</v>
      </c>
      <c r="BR79" s="69"/>
      <c r="BS79" s="69">
        <f t="shared" si="89"/>
        <v>0</v>
      </c>
      <c r="BT79" s="69">
        <f t="shared" si="89"/>
        <v>0</v>
      </c>
      <c r="BU79" s="69">
        <f t="shared" si="89"/>
        <v>3242</v>
      </c>
      <c r="BV79" s="69">
        <f t="shared" si="89"/>
        <v>0</v>
      </c>
      <c r="BW79" s="69">
        <f t="shared" si="89"/>
        <v>3242</v>
      </c>
      <c r="BX79" s="69">
        <f t="shared" si="89"/>
        <v>0</v>
      </c>
      <c r="BY79" s="71">
        <f>BW79/BU79*100</f>
        <v>100</v>
      </c>
      <c r="BZ79" s="72"/>
    </row>
    <row r="80" spans="1:78" s="14" customFormat="1" ht="18" customHeight="1" hidden="1">
      <c r="A80" s="88" t="s">
        <v>149</v>
      </c>
      <c r="B80" s="89" t="s">
        <v>135</v>
      </c>
      <c r="C80" s="89" t="s">
        <v>136</v>
      </c>
      <c r="D80" s="90" t="s">
        <v>150</v>
      </c>
      <c r="E80" s="89"/>
      <c r="F80" s="75">
        <f t="shared" si="87"/>
        <v>3185</v>
      </c>
      <c r="G80" s="75">
        <f t="shared" si="87"/>
        <v>57</v>
      </c>
      <c r="H80" s="75">
        <f t="shared" si="87"/>
        <v>3242</v>
      </c>
      <c r="I80" s="75">
        <f t="shared" si="87"/>
        <v>0</v>
      </c>
      <c r="J80" s="75">
        <f t="shared" si="87"/>
        <v>0</v>
      </c>
      <c r="K80" s="75">
        <f t="shared" si="87"/>
        <v>0</v>
      </c>
      <c r="L80" s="75">
        <f t="shared" si="87"/>
        <v>0</v>
      </c>
      <c r="M80" s="75">
        <f t="shared" si="87"/>
        <v>3242</v>
      </c>
      <c r="N80" s="75">
        <f t="shared" si="87"/>
        <v>0</v>
      </c>
      <c r="O80" s="75">
        <f t="shared" si="87"/>
        <v>0</v>
      </c>
      <c r="P80" s="75"/>
      <c r="Q80" s="75">
        <f t="shared" si="87"/>
        <v>0</v>
      </c>
      <c r="R80" s="75">
        <f t="shared" si="87"/>
        <v>0</v>
      </c>
      <c r="S80" s="75">
        <f t="shared" si="87"/>
        <v>3242</v>
      </c>
      <c r="T80" s="75">
        <f t="shared" si="88"/>
        <v>0</v>
      </c>
      <c r="U80" s="75">
        <f t="shared" si="88"/>
        <v>0</v>
      </c>
      <c r="V80" s="75">
        <f t="shared" si="88"/>
        <v>0</v>
      </c>
      <c r="W80" s="75">
        <f t="shared" si="88"/>
        <v>0</v>
      </c>
      <c r="X80" s="75">
        <f t="shared" si="88"/>
        <v>0</v>
      </c>
      <c r="Y80" s="75">
        <f t="shared" si="88"/>
        <v>0</v>
      </c>
      <c r="Z80" s="75">
        <f t="shared" si="88"/>
        <v>0</v>
      </c>
      <c r="AA80" s="75">
        <f t="shared" si="88"/>
        <v>0</v>
      </c>
      <c r="AB80" s="75">
        <f t="shared" si="88"/>
        <v>3242</v>
      </c>
      <c r="AC80" s="75">
        <f aca="true" t="shared" si="90" ref="AC80:BX80">AC81</f>
        <v>0</v>
      </c>
      <c r="AD80" s="75">
        <f t="shared" si="90"/>
        <v>0</v>
      </c>
      <c r="AE80" s="75">
        <f t="shared" si="90"/>
        <v>0</v>
      </c>
      <c r="AF80" s="75">
        <f t="shared" si="90"/>
        <v>0</v>
      </c>
      <c r="AG80" s="75">
        <f t="shared" si="90"/>
        <v>0</v>
      </c>
      <c r="AH80" s="75">
        <f t="shared" si="90"/>
        <v>0</v>
      </c>
      <c r="AI80" s="75">
        <f t="shared" si="90"/>
        <v>3242</v>
      </c>
      <c r="AJ80" s="75">
        <f t="shared" si="90"/>
        <v>0</v>
      </c>
      <c r="AK80" s="75">
        <f t="shared" si="90"/>
        <v>0</v>
      </c>
      <c r="AL80" s="75">
        <f t="shared" si="90"/>
        <v>3242</v>
      </c>
      <c r="AM80" s="75">
        <f t="shared" si="90"/>
        <v>0</v>
      </c>
      <c r="AN80" s="75">
        <f t="shared" si="90"/>
        <v>0</v>
      </c>
      <c r="AO80" s="75">
        <f t="shared" si="90"/>
        <v>0</v>
      </c>
      <c r="AP80" s="75">
        <f t="shared" si="90"/>
        <v>0</v>
      </c>
      <c r="AQ80" s="75">
        <f t="shared" si="90"/>
        <v>0</v>
      </c>
      <c r="AR80" s="75">
        <f t="shared" si="90"/>
        <v>3242</v>
      </c>
      <c r="AS80" s="75">
        <f t="shared" si="90"/>
        <v>0</v>
      </c>
      <c r="AT80" s="76">
        <f t="shared" si="90"/>
        <v>0</v>
      </c>
      <c r="AU80" s="76">
        <f t="shared" si="90"/>
        <v>0</v>
      </c>
      <c r="AV80" s="76">
        <f t="shared" si="90"/>
        <v>0</v>
      </c>
      <c r="AW80" s="76">
        <f t="shared" si="90"/>
        <v>3242</v>
      </c>
      <c r="AX80" s="76">
        <f t="shared" si="90"/>
        <v>0</v>
      </c>
      <c r="AY80" s="75">
        <f t="shared" si="90"/>
        <v>0</v>
      </c>
      <c r="AZ80" s="75">
        <f t="shared" si="90"/>
        <v>0</v>
      </c>
      <c r="BA80" s="75">
        <f t="shared" si="90"/>
        <v>0</v>
      </c>
      <c r="BB80" s="75">
        <f t="shared" si="90"/>
        <v>0</v>
      </c>
      <c r="BC80" s="75">
        <f t="shared" si="90"/>
        <v>0</v>
      </c>
      <c r="BD80" s="75">
        <f t="shared" si="90"/>
        <v>3242</v>
      </c>
      <c r="BE80" s="75">
        <f t="shared" si="90"/>
        <v>0</v>
      </c>
      <c r="BF80" s="75">
        <f t="shared" si="90"/>
        <v>0</v>
      </c>
      <c r="BG80" s="75">
        <f t="shared" si="90"/>
        <v>0</v>
      </c>
      <c r="BH80" s="75">
        <f t="shared" si="90"/>
        <v>0</v>
      </c>
      <c r="BI80" s="75">
        <f t="shared" si="90"/>
        <v>3242</v>
      </c>
      <c r="BJ80" s="75">
        <f t="shared" si="90"/>
        <v>0</v>
      </c>
      <c r="BK80" s="75">
        <f t="shared" si="90"/>
        <v>0</v>
      </c>
      <c r="BL80" s="75">
        <f t="shared" si="90"/>
        <v>0</v>
      </c>
      <c r="BM80" s="75">
        <f t="shared" si="90"/>
        <v>0</v>
      </c>
      <c r="BN80" s="75">
        <f t="shared" si="90"/>
        <v>0</v>
      </c>
      <c r="BO80" s="75">
        <f t="shared" si="90"/>
        <v>3242</v>
      </c>
      <c r="BP80" s="75">
        <f t="shared" si="90"/>
        <v>0</v>
      </c>
      <c r="BQ80" s="75">
        <f t="shared" si="90"/>
        <v>0</v>
      </c>
      <c r="BR80" s="75"/>
      <c r="BS80" s="75">
        <f t="shared" si="90"/>
        <v>0</v>
      </c>
      <c r="BT80" s="75">
        <f t="shared" si="90"/>
        <v>0</v>
      </c>
      <c r="BU80" s="75">
        <f t="shared" si="90"/>
        <v>3242</v>
      </c>
      <c r="BV80" s="75">
        <f t="shared" si="90"/>
        <v>0</v>
      </c>
      <c r="BW80" s="75">
        <f t="shared" si="90"/>
        <v>3242</v>
      </c>
      <c r="BX80" s="75">
        <f t="shared" si="90"/>
        <v>0</v>
      </c>
      <c r="BY80" s="77">
        <f>BW80/BU80*100</f>
        <v>100</v>
      </c>
      <c r="BZ80" s="72"/>
    </row>
    <row r="81" spans="1:78" s="14" customFormat="1" ht="75.75" customHeight="1" hidden="1">
      <c r="A81" s="88" t="s">
        <v>138</v>
      </c>
      <c r="B81" s="89" t="s">
        <v>135</v>
      </c>
      <c r="C81" s="89" t="s">
        <v>136</v>
      </c>
      <c r="D81" s="90" t="s">
        <v>150</v>
      </c>
      <c r="E81" s="89" t="s">
        <v>139</v>
      </c>
      <c r="F81" s="75">
        <v>3185</v>
      </c>
      <c r="G81" s="75">
        <f>H81-F81</f>
        <v>57</v>
      </c>
      <c r="H81" s="75">
        <v>3242</v>
      </c>
      <c r="I81" s="79"/>
      <c r="J81" s="79"/>
      <c r="K81" s="79"/>
      <c r="L81" s="79"/>
      <c r="M81" s="75">
        <f>H81+J81+K81+L81</f>
        <v>3242</v>
      </c>
      <c r="N81" s="78">
        <f>I81+L81</f>
        <v>0</v>
      </c>
      <c r="O81" s="79"/>
      <c r="P81" s="79"/>
      <c r="Q81" s="79"/>
      <c r="R81" s="79"/>
      <c r="S81" s="75">
        <f>M81+O81+P81+Q81+R81</f>
        <v>3242</v>
      </c>
      <c r="T81" s="75">
        <f>N81+R81</f>
        <v>0</v>
      </c>
      <c r="U81" s="79"/>
      <c r="V81" s="79"/>
      <c r="W81" s="79"/>
      <c r="X81" s="79"/>
      <c r="Y81" s="79"/>
      <c r="Z81" s="79"/>
      <c r="AA81" s="79"/>
      <c r="AB81" s="75">
        <f>S81+U81+V81+W81+X81+Y81+Z81+AA81</f>
        <v>3242</v>
      </c>
      <c r="AC81" s="80">
        <f>T81+Z81+AA81</f>
        <v>0</v>
      </c>
      <c r="AD81" s="80"/>
      <c r="AE81" s="80"/>
      <c r="AF81" s="75"/>
      <c r="AG81" s="80"/>
      <c r="AH81" s="80"/>
      <c r="AI81" s="75">
        <f>AB81+AD81+AE81+AF81+AG81+AH81</f>
        <v>3242</v>
      </c>
      <c r="AJ81" s="75">
        <f>AC81+AH81</f>
        <v>0</v>
      </c>
      <c r="AK81" s="79"/>
      <c r="AL81" s="75">
        <f>AI81+AK81</f>
        <v>3242</v>
      </c>
      <c r="AM81" s="75">
        <f>AJ81</f>
        <v>0</v>
      </c>
      <c r="AN81" s="79"/>
      <c r="AO81" s="79"/>
      <c r="AP81" s="79"/>
      <c r="AQ81" s="79"/>
      <c r="AR81" s="75">
        <f>AL81+AN81+AO81+AP81+AQ81</f>
        <v>3242</v>
      </c>
      <c r="AS81" s="75">
        <f>AM81+AQ81</f>
        <v>0</v>
      </c>
      <c r="AT81" s="81"/>
      <c r="AU81" s="81"/>
      <c r="AV81" s="81"/>
      <c r="AW81" s="76">
        <f>AV81+AU81+AT81+AR81</f>
        <v>3242</v>
      </c>
      <c r="AX81" s="76">
        <f>AV81+AS81</f>
        <v>0</v>
      </c>
      <c r="AY81" s="75"/>
      <c r="AZ81" s="75"/>
      <c r="BA81" s="75"/>
      <c r="BB81" s="75"/>
      <c r="BC81" s="75"/>
      <c r="BD81" s="75">
        <f>AW81+AY81+AZ81+BA81+BB81+BC81</f>
        <v>3242</v>
      </c>
      <c r="BE81" s="75">
        <f>AX81+BC81</f>
        <v>0</v>
      </c>
      <c r="BF81" s="79"/>
      <c r="BG81" s="79"/>
      <c r="BH81" s="79"/>
      <c r="BI81" s="75">
        <f>BD81+BF81+BG81+BH81</f>
        <v>3242</v>
      </c>
      <c r="BJ81" s="75">
        <f>BE81+BH81</f>
        <v>0</v>
      </c>
      <c r="BK81" s="78"/>
      <c r="BL81" s="78"/>
      <c r="BM81" s="78"/>
      <c r="BN81" s="78"/>
      <c r="BO81" s="75">
        <f>BI81+BK81+BL81+BM81+BN81</f>
        <v>3242</v>
      </c>
      <c r="BP81" s="75">
        <f>BJ81+BN81</f>
        <v>0</v>
      </c>
      <c r="BQ81" s="79"/>
      <c r="BR81" s="79"/>
      <c r="BS81" s="79"/>
      <c r="BT81" s="79"/>
      <c r="BU81" s="75">
        <f>BO81+BQ81+BS81+BT81</f>
        <v>3242</v>
      </c>
      <c r="BV81" s="75">
        <f>BP81+BT81</f>
        <v>0</v>
      </c>
      <c r="BW81" s="75">
        <v>3242</v>
      </c>
      <c r="BX81" s="75">
        <f>BR81+BV81</f>
        <v>0</v>
      </c>
      <c r="BY81" s="77">
        <f>BW81/BU81*100</f>
        <v>100</v>
      </c>
      <c r="BZ81" s="72"/>
    </row>
    <row r="82" spans="1:78" s="14" customFormat="1" ht="12" customHeight="1">
      <c r="A82" s="88"/>
      <c r="B82" s="89"/>
      <c r="C82" s="89"/>
      <c r="D82" s="90"/>
      <c r="E82" s="89"/>
      <c r="F82" s="80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5"/>
      <c r="T82" s="75"/>
      <c r="U82" s="79"/>
      <c r="V82" s="79"/>
      <c r="W82" s="79"/>
      <c r="X82" s="79"/>
      <c r="Y82" s="79"/>
      <c r="Z82" s="79"/>
      <c r="AA82" s="79"/>
      <c r="AB82" s="79"/>
      <c r="AC82" s="79"/>
      <c r="AD82" s="80"/>
      <c r="AE82" s="80"/>
      <c r="AF82" s="75"/>
      <c r="AG82" s="80"/>
      <c r="AH82" s="80"/>
      <c r="AI82" s="80"/>
      <c r="AJ82" s="80"/>
      <c r="AK82" s="79"/>
      <c r="AL82" s="79"/>
      <c r="AM82" s="79"/>
      <c r="AN82" s="79"/>
      <c r="AO82" s="79"/>
      <c r="AP82" s="79"/>
      <c r="AQ82" s="79"/>
      <c r="AR82" s="79"/>
      <c r="AS82" s="79"/>
      <c r="AT82" s="81"/>
      <c r="AU82" s="81"/>
      <c r="AV82" s="81"/>
      <c r="AW82" s="81"/>
      <c r="AX82" s="81"/>
      <c r="AY82" s="75"/>
      <c r="AZ82" s="75"/>
      <c r="BA82" s="75"/>
      <c r="BB82" s="75"/>
      <c r="BC82" s="75"/>
      <c r="BD82" s="78"/>
      <c r="BE82" s="78"/>
      <c r="BF82" s="79"/>
      <c r="BG82" s="79"/>
      <c r="BH82" s="79"/>
      <c r="BI82" s="79"/>
      <c r="BJ82" s="79"/>
      <c r="BK82" s="78"/>
      <c r="BL82" s="78"/>
      <c r="BM82" s="78"/>
      <c r="BN82" s="78"/>
      <c r="BO82" s="78"/>
      <c r="BP82" s="78"/>
      <c r="BQ82" s="79"/>
      <c r="BR82" s="79"/>
      <c r="BS82" s="79"/>
      <c r="BT82" s="79"/>
      <c r="BU82" s="79"/>
      <c r="BV82" s="79"/>
      <c r="BW82" s="79"/>
      <c r="BX82" s="79"/>
      <c r="BY82" s="72"/>
      <c r="BZ82" s="72"/>
    </row>
    <row r="83" spans="1:78" s="14" customFormat="1" ht="20.25" customHeight="1">
      <c r="A83" s="66" t="s">
        <v>41</v>
      </c>
      <c r="B83" s="67" t="s">
        <v>135</v>
      </c>
      <c r="C83" s="67" t="s">
        <v>155</v>
      </c>
      <c r="D83" s="85"/>
      <c r="E83" s="67"/>
      <c r="F83" s="86">
        <f aca="true" t="shared" si="91" ref="F83:M83">F84+F86+F92</f>
        <v>258208</v>
      </c>
      <c r="G83" s="86">
        <f t="shared" si="91"/>
        <v>51019</v>
      </c>
      <c r="H83" s="86">
        <f t="shared" si="91"/>
        <v>309227</v>
      </c>
      <c r="I83" s="86">
        <f t="shared" si="91"/>
        <v>0</v>
      </c>
      <c r="J83" s="86">
        <f t="shared" si="91"/>
        <v>0</v>
      </c>
      <c r="K83" s="86">
        <f t="shared" si="91"/>
        <v>0</v>
      </c>
      <c r="L83" s="86">
        <f t="shared" si="91"/>
        <v>0</v>
      </c>
      <c r="M83" s="86">
        <f t="shared" si="91"/>
        <v>309227</v>
      </c>
      <c r="N83" s="86">
        <f aca="true" t="shared" si="92" ref="N83:S83">N84+N86+N92</f>
        <v>0</v>
      </c>
      <c r="O83" s="86">
        <f t="shared" si="92"/>
        <v>0</v>
      </c>
      <c r="P83" s="86"/>
      <c r="Q83" s="86">
        <f t="shared" si="92"/>
        <v>0</v>
      </c>
      <c r="R83" s="86">
        <f t="shared" si="92"/>
        <v>0</v>
      </c>
      <c r="S83" s="86">
        <f t="shared" si="92"/>
        <v>309227</v>
      </c>
      <c r="T83" s="86">
        <f>T84+T86+T92</f>
        <v>0</v>
      </c>
      <c r="U83" s="86">
        <f>U84+U86+U89+U92</f>
        <v>0</v>
      </c>
      <c r="V83" s="86">
        <f aca="true" t="shared" si="93" ref="V83:AB83">V84+V86+V89+V92</f>
        <v>0</v>
      </c>
      <c r="W83" s="86">
        <f t="shared" si="93"/>
        <v>0</v>
      </c>
      <c r="X83" s="86">
        <f t="shared" si="93"/>
        <v>0</v>
      </c>
      <c r="Y83" s="86">
        <f t="shared" si="93"/>
        <v>24961</v>
      </c>
      <c r="Z83" s="86">
        <f t="shared" si="93"/>
        <v>0</v>
      </c>
      <c r="AA83" s="86">
        <f t="shared" si="93"/>
        <v>0</v>
      </c>
      <c r="AB83" s="86">
        <f t="shared" si="93"/>
        <v>334188</v>
      </c>
      <c r="AC83" s="86">
        <f aca="true" t="shared" si="94" ref="AC83:AL83">AC84+AC86+AC89+AC92</f>
        <v>0</v>
      </c>
      <c r="AD83" s="86">
        <f t="shared" si="94"/>
        <v>0</v>
      </c>
      <c r="AE83" s="86">
        <f t="shared" si="94"/>
        <v>0</v>
      </c>
      <c r="AF83" s="86">
        <f t="shared" si="94"/>
        <v>-30705</v>
      </c>
      <c r="AG83" s="86">
        <f t="shared" si="94"/>
        <v>0</v>
      </c>
      <c r="AH83" s="86">
        <f t="shared" si="94"/>
        <v>0</v>
      </c>
      <c r="AI83" s="86">
        <f t="shared" si="94"/>
        <v>303483</v>
      </c>
      <c r="AJ83" s="86">
        <f t="shared" si="94"/>
        <v>0</v>
      </c>
      <c r="AK83" s="86">
        <f t="shared" si="94"/>
        <v>0</v>
      </c>
      <c r="AL83" s="86">
        <f t="shared" si="94"/>
        <v>303483</v>
      </c>
      <c r="AM83" s="86">
        <f aca="true" t="shared" si="95" ref="AM83:AS83">AM84+AM86+AM89+AM92</f>
        <v>0</v>
      </c>
      <c r="AN83" s="86">
        <f t="shared" si="95"/>
        <v>0</v>
      </c>
      <c r="AO83" s="86">
        <f>AO84+AO86+AO89+AO92</f>
        <v>0</v>
      </c>
      <c r="AP83" s="86">
        <f t="shared" si="95"/>
        <v>0</v>
      </c>
      <c r="AQ83" s="86">
        <f t="shared" si="95"/>
        <v>0</v>
      </c>
      <c r="AR83" s="86">
        <f t="shared" si="95"/>
        <v>303483</v>
      </c>
      <c r="AS83" s="86">
        <f t="shared" si="95"/>
        <v>0</v>
      </c>
      <c r="AT83" s="87">
        <f>AT84+AT86+AT89+AT92</f>
        <v>0</v>
      </c>
      <c r="AU83" s="87">
        <f>AU84+AU86+AU89+AU92</f>
        <v>0</v>
      </c>
      <c r="AV83" s="87">
        <f>AV84+AV86+AV89+AV92</f>
        <v>0</v>
      </c>
      <c r="AW83" s="87">
        <f>AW84+AW86+AW89+AW92</f>
        <v>303483</v>
      </c>
      <c r="AX83" s="87">
        <f aca="true" t="shared" si="96" ref="AX83:BD83">AX84+AX86+AX89+AX92</f>
        <v>0</v>
      </c>
      <c r="AY83" s="86">
        <f t="shared" si="96"/>
        <v>-7620</v>
      </c>
      <c r="AZ83" s="86">
        <f>AZ84+AZ86+AZ89+AZ92</f>
        <v>0</v>
      </c>
      <c r="BA83" s="86">
        <f>BA84+BA86+BA89+BA92</f>
        <v>0</v>
      </c>
      <c r="BB83" s="86">
        <f>BB84+BB86+BB89+BB92</f>
        <v>280</v>
      </c>
      <c r="BC83" s="86">
        <f t="shared" si="96"/>
        <v>0</v>
      </c>
      <c r="BD83" s="86">
        <f t="shared" si="96"/>
        <v>296143</v>
      </c>
      <c r="BE83" s="86">
        <f aca="true" t="shared" si="97" ref="BE83:BL83">BE84+BE86+BE89+BE92</f>
        <v>0</v>
      </c>
      <c r="BF83" s="86">
        <f t="shared" si="97"/>
        <v>0</v>
      </c>
      <c r="BG83" s="86">
        <f t="shared" si="97"/>
        <v>0</v>
      </c>
      <c r="BH83" s="86">
        <f t="shared" si="97"/>
        <v>0</v>
      </c>
      <c r="BI83" s="86">
        <f t="shared" si="97"/>
        <v>296143</v>
      </c>
      <c r="BJ83" s="86">
        <f t="shared" si="97"/>
        <v>0</v>
      </c>
      <c r="BK83" s="86">
        <f t="shared" si="97"/>
        <v>0</v>
      </c>
      <c r="BL83" s="86">
        <f t="shared" si="97"/>
        <v>0</v>
      </c>
      <c r="BM83" s="86">
        <f aca="true" t="shared" si="98" ref="BM83:BV83">BM84+BM86+BM89+BM92+BM99</f>
        <v>0</v>
      </c>
      <c r="BN83" s="86">
        <f t="shared" si="98"/>
        <v>23592</v>
      </c>
      <c r="BO83" s="86">
        <f t="shared" si="98"/>
        <v>319735</v>
      </c>
      <c r="BP83" s="86">
        <f t="shared" si="98"/>
        <v>23592</v>
      </c>
      <c r="BQ83" s="86">
        <f t="shared" si="98"/>
        <v>0</v>
      </c>
      <c r="BR83" s="86"/>
      <c r="BS83" s="86">
        <f t="shared" si="98"/>
        <v>-10800</v>
      </c>
      <c r="BT83" s="86">
        <f t="shared" si="98"/>
        <v>0</v>
      </c>
      <c r="BU83" s="86">
        <f t="shared" si="98"/>
        <v>308935</v>
      </c>
      <c r="BV83" s="86">
        <f t="shared" si="98"/>
        <v>23592</v>
      </c>
      <c r="BW83" s="86">
        <f>BW84+BW86+BW89+BW92+BW99</f>
        <v>299580</v>
      </c>
      <c r="BX83" s="86">
        <f>BX84+BX86+BX89+BX92+BX99</f>
        <v>16514</v>
      </c>
      <c r="BY83" s="71">
        <f aca="true" t="shared" si="99" ref="BY83:BZ85">BW83/BU83*100</f>
        <v>96.97185492093806</v>
      </c>
      <c r="BZ83" s="71">
        <f t="shared" si="99"/>
        <v>69.9983045100034</v>
      </c>
    </row>
    <row r="84" spans="1:78" s="14" customFormat="1" ht="90" customHeight="1" hidden="1">
      <c r="A84" s="88" t="s">
        <v>133</v>
      </c>
      <c r="B84" s="89" t="s">
        <v>135</v>
      </c>
      <c r="C84" s="89" t="s">
        <v>155</v>
      </c>
      <c r="D84" s="90" t="s">
        <v>124</v>
      </c>
      <c r="E84" s="67"/>
      <c r="F84" s="91">
        <f>F85</f>
        <v>0</v>
      </c>
      <c r="G84" s="91">
        <f>G85</f>
        <v>10705</v>
      </c>
      <c r="H84" s="91">
        <f>H85</f>
        <v>10705</v>
      </c>
      <c r="I84" s="91">
        <f aca="true" t="shared" si="100" ref="I84:AJ84">I85</f>
        <v>0</v>
      </c>
      <c r="J84" s="91">
        <f t="shared" si="100"/>
        <v>0</v>
      </c>
      <c r="K84" s="91">
        <f t="shared" si="100"/>
        <v>0</v>
      </c>
      <c r="L84" s="91">
        <f t="shared" si="100"/>
        <v>0</v>
      </c>
      <c r="M84" s="91">
        <f t="shared" si="100"/>
        <v>10705</v>
      </c>
      <c r="N84" s="91">
        <f t="shared" si="100"/>
        <v>0</v>
      </c>
      <c r="O84" s="91">
        <f t="shared" si="100"/>
        <v>0</v>
      </c>
      <c r="P84" s="91"/>
      <c r="Q84" s="91">
        <f t="shared" si="100"/>
        <v>0</v>
      </c>
      <c r="R84" s="91">
        <f t="shared" si="100"/>
        <v>0</v>
      </c>
      <c r="S84" s="91">
        <f t="shared" si="100"/>
        <v>10705</v>
      </c>
      <c r="T84" s="91">
        <f t="shared" si="100"/>
        <v>0</v>
      </c>
      <c r="U84" s="91">
        <f t="shared" si="100"/>
        <v>0</v>
      </c>
      <c r="V84" s="91">
        <f t="shared" si="100"/>
        <v>0</v>
      </c>
      <c r="W84" s="91">
        <f t="shared" si="100"/>
        <v>0</v>
      </c>
      <c r="X84" s="91">
        <f t="shared" si="100"/>
        <v>0</v>
      </c>
      <c r="Y84" s="91">
        <f t="shared" si="100"/>
        <v>0</v>
      </c>
      <c r="Z84" s="91">
        <f t="shared" si="100"/>
        <v>0</v>
      </c>
      <c r="AA84" s="91">
        <f t="shared" si="100"/>
        <v>0</v>
      </c>
      <c r="AB84" s="91">
        <f t="shared" si="100"/>
        <v>10705</v>
      </c>
      <c r="AC84" s="91">
        <f t="shared" si="100"/>
        <v>0</v>
      </c>
      <c r="AD84" s="91">
        <f t="shared" si="100"/>
        <v>0</v>
      </c>
      <c r="AE84" s="91">
        <f t="shared" si="100"/>
        <v>0</v>
      </c>
      <c r="AF84" s="91">
        <f t="shared" si="100"/>
        <v>-10705</v>
      </c>
      <c r="AG84" s="91">
        <f t="shared" si="100"/>
        <v>0</v>
      </c>
      <c r="AH84" s="91">
        <f t="shared" si="100"/>
        <v>0</v>
      </c>
      <c r="AI84" s="91">
        <f t="shared" si="100"/>
        <v>0</v>
      </c>
      <c r="AJ84" s="91">
        <f t="shared" si="100"/>
        <v>0</v>
      </c>
      <c r="AK84" s="79"/>
      <c r="AL84" s="79"/>
      <c r="AM84" s="79"/>
      <c r="AN84" s="79"/>
      <c r="AO84" s="79"/>
      <c r="AP84" s="79"/>
      <c r="AQ84" s="79"/>
      <c r="AR84" s="79"/>
      <c r="AS84" s="79"/>
      <c r="AT84" s="81"/>
      <c r="AU84" s="81"/>
      <c r="AV84" s="81"/>
      <c r="AW84" s="81"/>
      <c r="AX84" s="81"/>
      <c r="AY84" s="75"/>
      <c r="AZ84" s="75"/>
      <c r="BA84" s="75"/>
      <c r="BB84" s="75"/>
      <c r="BC84" s="75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2" t="e">
        <f t="shared" si="99"/>
        <v>#DIV/0!</v>
      </c>
      <c r="BZ84" s="72" t="e">
        <f t="shared" si="99"/>
        <v>#DIV/0!</v>
      </c>
    </row>
    <row r="85" spans="1:78" s="14" customFormat="1" ht="42.75" customHeight="1" hidden="1">
      <c r="A85" s="88" t="s">
        <v>258</v>
      </c>
      <c r="B85" s="89" t="s">
        <v>135</v>
      </c>
      <c r="C85" s="89" t="s">
        <v>155</v>
      </c>
      <c r="D85" s="90" t="s">
        <v>124</v>
      </c>
      <c r="E85" s="89" t="s">
        <v>257</v>
      </c>
      <c r="F85" s="86"/>
      <c r="G85" s="75">
        <f>H85-F85</f>
        <v>10705</v>
      </c>
      <c r="H85" s="91">
        <v>10705</v>
      </c>
      <c r="I85" s="86"/>
      <c r="J85" s="79"/>
      <c r="K85" s="79"/>
      <c r="L85" s="79"/>
      <c r="M85" s="75">
        <f>H85+J85+K85+L85</f>
        <v>10705</v>
      </c>
      <c r="N85" s="78">
        <f>I85+L85</f>
        <v>0</v>
      </c>
      <c r="O85" s="79"/>
      <c r="P85" s="79"/>
      <c r="Q85" s="79"/>
      <c r="R85" s="79"/>
      <c r="S85" s="75">
        <f>M85+O85+P85+Q85+R85</f>
        <v>10705</v>
      </c>
      <c r="T85" s="75">
        <f>N85+R85</f>
        <v>0</v>
      </c>
      <c r="U85" s="79"/>
      <c r="V85" s="79"/>
      <c r="W85" s="79"/>
      <c r="X85" s="79"/>
      <c r="Y85" s="79"/>
      <c r="Z85" s="79"/>
      <c r="AA85" s="79"/>
      <c r="AB85" s="75">
        <f>S85+U85+V85+W85+X85+Y85+Z85+AA85</f>
        <v>10705</v>
      </c>
      <c r="AC85" s="80">
        <f>T85+Z85+AA85</f>
        <v>0</v>
      </c>
      <c r="AD85" s="80"/>
      <c r="AE85" s="80"/>
      <c r="AF85" s="75">
        <v>-10705</v>
      </c>
      <c r="AG85" s="80"/>
      <c r="AH85" s="80"/>
      <c r="AI85" s="75">
        <f>AB85+AD85+AE85+AF85+AG85+AH85</f>
        <v>0</v>
      </c>
      <c r="AJ85" s="75">
        <f>AC85+AH85</f>
        <v>0</v>
      </c>
      <c r="AK85" s="79"/>
      <c r="AL85" s="79"/>
      <c r="AM85" s="79"/>
      <c r="AN85" s="79"/>
      <c r="AO85" s="79"/>
      <c r="AP85" s="79"/>
      <c r="AQ85" s="79"/>
      <c r="AR85" s="79"/>
      <c r="AS85" s="79"/>
      <c r="AT85" s="81"/>
      <c r="AU85" s="81"/>
      <c r="AV85" s="81"/>
      <c r="AW85" s="81"/>
      <c r="AX85" s="81"/>
      <c r="AY85" s="75"/>
      <c r="AZ85" s="75"/>
      <c r="BA85" s="75"/>
      <c r="BB85" s="75"/>
      <c r="BC85" s="75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2" t="e">
        <f t="shared" si="99"/>
        <v>#DIV/0!</v>
      </c>
      <c r="BZ85" s="72" t="e">
        <f t="shared" si="99"/>
        <v>#DIV/0!</v>
      </c>
    </row>
    <row r="86" spans="1:78" s="14" customFormat="1" ht="20.25" customHeight="1" hidden="1">
      <c r="A86" s="88" t="s">
        <v>156</v>
      </c>
      <c r="B86" s="89" t="s">
        <v>135</v>
      </c>
      <c r="C86" s="89" t="s">
        <v>155</v>
      </c>
      <c r="D86" s="90" t="s">
        <v>157</v>
      </c>
      <c r="E86" s="89"/>
      <c r="F86" s="91">
        <f aca="true" t="shared" si="101" ref="F86:U87">F87</f>
        <v>1832</v>
      </c>
      <c r="G86" s="91">
        <f t="shared" si="101"/>
        <v>192</v>
      </c>
      <c r="H86" s="91">
        <f t="shared" si="101"/>
        <v>2024</v>
      </c>
      <c r="I86" s="91">
        <f t="shared" si="101"/>
        <v>0</v>
      </c>
      <c r="J86" s="91">
        <f t="shared" si="101"/>
        <v>0</v>
      </c>
      <c r="K86" s="91">
        <f t="shared" si="101"/>
        <v>0</v>
      </c>
      <c r="L86" s="91">
        <f t="shared" si="101"/>
        <v>0</v>
      </c>
      <c r="M86" s="91">
        <f t="shared" si="101"/>
        <v>2024</v>
      </c>
      <c r="N86" s="91">
        <f t="shared" si="101"/>
        <v>0</v>
      </c>
      <c r="O86" s="91">
        <f t="shared" si="101"/>
        <v>0</v>
      </c>
      <c r="P86" s="91"/>
      <c r="Q86" s="91">
        <f t="shared" si="101"/>
        <v>0</v>
      </c>
      <c r="R86" s="91">
        <f t="shared" si="101"/>
        <v>0</v>
      </c>
      <c r="S86" s="91">
        <f t="shared" si="101"/>
        <v>2024</v>
      </c>
      <c r="T86" s="91">
        <f t="shared" si="101"/>
        <v>0</v>
      </c>
      <c r="U86" s="91">
        <f t="shared" si="101"/>
        <v>0</v>
      </c>
      <c r="V86" s="91">
        <f aca="true" t="shared" si="102" ref="V86:AK87">V87</f>
        <v>0</v>
      </c>
      <c r="W86" s="91">
        <f t="shared" si="102"/>
        <v>0</v>
      </c>
      <c r="X86" s="91">
        <f t="shared" si="102"/>
        <v>0</v>
      </c>
      <c r="Y86" s="91">
        <f t="shared" si="102"/>
        <v>0</v>
      </c>
      <c r="Z86" s="91">
        <f t="shared" si="102"/>
        <v>0</v>
      </c>
      <c r="AA86" s="91">
        <f t="shared" si="102"/>
        <v>0</v>
      </c>
      <c r="AB86" s="91">
        <f t="shared" si="102"/>
        <v>2024</v>
      </c>
      <c r="AC86" s="91">
        <f t="shared" si="102"/>
        <v>0</v>
      </c>
      <c r="AD86" s="91">
        <f t="shared" si="102"/>
        <v>0</v>
      </c>
      <c r="AE86" s="91">
        <f t="shared" si="102"/>
        <v>0</v>
      </c>
      <c r="AF86" s="91">
        <f t="shared" si="102"/>
        <v>0</v>
      </c>
      <c r="AG86" s="91">
        <f t="shared" si="102"/>
        <v>0</v>
      </c>
      <c r="AH86" s="91">
        <f t="shared" si="102"/>
        <v>0</v>
      </c>
      <c r="AI86" s="91">
        <f t="shared" si="102"/>
        <v>2024</v>
      </c>
      <c r="AJ86" s="91">
        <f t="shared" si="102"/>
        <v>0</v>
      </c>
      <c r="AK86" s="91">
        <f t="shared" si="102"/>
        <v>0</v>
      </c>
      <c r="AL86" s="91">
        <f>AL87</f>
        <v>2024</v>
      </c>
      <c r="AM86" s="91">
        <f aca="true" t="shared" si="103" ref="AM86:BE87">AM87</f>
        <v>0</v>
      </c>
      <c r="AN86" s="91">
        <f t="shared" si="103"/>
        <v>0</v>
      </c>
      <c r="AO86" s="91">
        <f t="shared" si="103"/>
        <v>0</v>
      </c>
      <c r="AP86" s="91">
        <f t="shared" si="103"/>
        <v>0</v>
      </c>
      <c r="AQ86" s="91">
        <f t="shared" si="103"/>
        <v>0</v>
      </c>
      <c r="AR86" s="91">
        <f t="shared" si="103"/>
        <v>2024</v>
      </c>
      <c r="AS86" s="91">
        <f t="shared" si="103"/>
        <v>0</v>
      </c>
      <c r="AT86" s="92">
        <f t="shared" si="103"/>
        <v>0</v>
      </c>
      <c r="AU86" s="92">
        <f t="shared" si="103"/>
        <v>0</v>
      </c>
      <c r="AV86" s="92">
        <f t="shared" si="103"/>
        <v>0</v>
      </c>
      <c r="AW86" s="92">
        <f t="shared" si="103"/>
        <v>2024</v>
      </c>
      <c r="AX86" s="92">
        <f t="shared" si="103"/>
        <v>0</v>
      </c>
      <c r="AY86" s="91">
        <f t="shared" si="103"/>
        <v>0</v>
      </c>
      <c r="AZ86" s="91">
        <f t="shared" si="103"/>
        <v>0</v>
      </c>
      <c r="BA86" s="91">
        <f t="shared" si="103"/>
        <v>0</v>
      </c>
      <c r="BB86" s="91">
        <f t="shared" si="103"/>
        <v>0</v>
      </c>
      <c r="BC86" s="91">
        <f t="shared" si="103"/>
        <v>0</v>
      </c>
      <c r="BD86" s="91">
        <f t="shared" si="103"/>
        <v>2024</v>
      </c>
      <c r="BE86" s="91">
        <f t="shared" si="103"/>
        <v>0</v>
      </c>
      <c r="BF86" s="91">
        <f>BF87</f>
        <v>0</v>
      </c>
      <c r="BG86" s="91">
        <f>BG87</f>
        <v>0</v>
      </c>
      <c r="BH86" s="91">
        <f>BH87</f>
        <v>0</v>
      </c>
      <c r="BI86" s="91">
        <f>BI87</f>
        <v>2024</v>
      </c>
      <c r="BJ86" s="91">
        <f aca="true" t="shared" si="104" ref="BJ86:BX86">BJ87</f>
        <v>0</v>
      </c>
      <c r="BK86" s="91">
        <f t="shared" si="104"/>
        <v>0</v>
      </c>
      <c r="BL86" s="91">
        <f t="shared" si="104"/>
        <v>0</v>
      </c>
      <c r="BM86" s="91">
        <f t="shared" si="104"/>
        <v>0</v>
      </c>
      <c r="BN86" s="91">
        <f t="shared" si="104"/>
        <v>0</v>
      </c>
      <c r="BO86" s="91">
        <f t="shared" si="104"/>
        <v>2024</v>
      </c>
      <c r="BP86" s="91">
        <f t="shared" si="104"/>
        <v>0</v>
      </c>
      <c r="BQ86" s="91">
        <f t="shared" si="104"/>
        <v>0</v>
      </c>
      <c r="BR86" s="91"/>
      <c r="BS86" s="91">
        <f t="shared" si="104"/>
        <v>0</v>
      </c>
      <c r="BT86" s="91">
        <f t="shared" si="104"/>
        <v>0</v>
      </c>
      <c r="BU86" s="91">
        <f t="shared" si="104"/>
        <v>2024</v>
      </c>
      <c r="BV86" s="91">
        <f t="shared" si="104"/>
        <v>0</v>
      </c>
      <c r="BW86" s="91">
        <f t="shared" si="104"/>
        <v>2024</v>
      </c>
      <c r="BX86" s="91">
        <f t="shared" si="104"/>
        <v>0</v>
      </c>
      <c r="BY86" s="77">
        <f aca="true" t="shared" si="105" ref="BY86:BY102">BW86/BU86*100</f>
        <v>100</v>
      </c>
      <c r="BZ86" s="72"/>
    </row>
    <row r="87" spans="1:78" s="14" customFormat="1" ht="92.25" customHeight="1" hidden="1">
      <c r="A87" s="126" t="s">
        <v>201</v>
      </c>
      <c r="B87" s="89" t="s">
        <v>135</v>
      </c>
      <c r="C87" s="89" t="s">
        <v>155</v>
      </c>
      <c r="D87" s="90" t="s">
        <v>195</v>
      </c>
      <c r="E87" s="89"/>
      <c r="F87" s="91">
        <f t="shared" si="101"/>
        <v>1832</v>
      </c>
      <c r="G87" s="91">
        <f t="shared" si="101"/>
        <v>192</v>
      </c>
      <c r="H87" s="91">
        <f t="shared" si="101"/>
        <v>2024</v>
      </c>
      <c r="I87" s="91">
        <f t="shared" si="101"/>
        <v>0</v>
      </c>
      <c r="J87" s="91">
        <f t="shared" si="101"/>
        <v>0</v>
      </c>
      <c r="K87" s="91">
        <f t="shared" si="101"/>
        <v>0</v>
      </c>
      <c r="L87" s="91">
        <f t="shared" si="101"/>
        <v>0</v>
      </c>
      <c r="M87" s="91">
        <f t="shared" si="101"/>
        <v>2024</v>
      </c>
      <c r="N87" s="91">
        <f t="shared" si="101"/>
        <v>0</v>
      </c>
      <c r="O87" s="91">
        <f t="shared" si="101"/>
        <v>0</v>
      </c>
      <c r="P87" s="91"/>
      <c r="Q87" s="91">
        <f t="shared" si="101"/>
        <v>0</v>
      </c>
      <c r="R87" s="91">
        <f t="shared" si="101"/>
        <v>0</v>
      </c>
      <c r="S87" s="91">
        <f t="shared" si="101"/>
        <v>2024</v>
      </c>
      <c r="T87" s="91">
        <f t="shared" si="101"/>
        <v>0</v>
      </c>
      <c r="U87" s="91">
        <f t="shared" si="101"/>
        <v>0</v>
      </c>
      <c r="V87" s="91">
        <f t="shared" si="102"/>
        <v>0</v>
      </c>
      <c r="W87" s="91">
        <f t="shared" si="102"/>
        <v>0</v>
      </c>
      <c r="X87" s="91">
        <f t="shared" si="102"/>
        <v>0</v>
      </c>
      <c r="Y87" s="91">
        <f t="shared" si="102"/>
        <v>0</v>
      </c>
      <c r="Z87" s="91">
        <f t="shared" si="102"/>
        <v>0</v>
      </c>
      <c r="AA87" s="91">
        <f t="shared" si="102"/>
        <v>0</v>
      </c>
      <c r="AB87" s="91">
        <f t="shared" si="102"/>
        <v>2024</v>
      </c>
      <c r="AC87" s="91">
        <f t="shared" si="102"/>
        <v>0</v>
      </c>
      <c r="AD87" s="91">
        <f t="shared" si="102"/>
        <v>0</v>
      </c>
      <c r="AE87" s="91">
        <f t="shared" si="102"/>
        <v>0</v>
      </c>
      <c r="AF87" s="91">
        <f t="shared" si="102"/>
        <v>0</v>
      </c>
      <c r="AG87" s="91">
        <f t="shared" si="102"/>
        <v>0</v>
      </c>
      <c r="AH87" s="91">
        <f t="shared" si="102"/>
        <v>0</v>
      </c>
      <c r="AI87" s="91">
        <f t="shared" si="102"/>
        <v>2024</v>
      </c>
      <c r="AJ87" s="91">
        <f t="shared" si="102"/>
        <v>0</v>
      </c>
      <c r="AK87" s="91">
        <f t="shared" si="102"/>
        <v>0</v>
      </c>
      <c r="AL87" s="91">
        <f>AL88</f>
        <v>2024</v>
      </c>
      <c r="AM87" s="91">
        <f t="shared" si="103"/>
        <v>0</v>
      </c>
      <c r="AN87" s="91">
        <f t="shared" si="103"/>
        <v>0</v>
      </c>
      <c r="AO87" s="91">
        <f t="shared" si="103"/>
        <v>0</v>
      </c>
      <c r="AP87" s="91">
        <f t="shared" si="103"/>
        <v>0</v>
      </c>
      <c r="AQ87" s="91">
        <f t="shared" si="103"/>
        <v>0</v>
      </c>
      <c r="AR87" s="91">
        <f t="shared" si="103"/>
        <v>2024</v>
      </c>
      <c r="AS87" s="91">
        <f t="shared" si="103"/>
        <v>0</v>
      </c>
      <c r="AT87" s="92">
        <f t="shared" si="103"/>
        <v>0</v>
      </c>
      <c r="AU87" s="92">
        <f t="shared" si="103"/>
        <v>0</v>
      </c>
      <c r="AV87" s="92">
        <f t="shared" si="103"/>
        <v>0</v>
      </c>
      <c r="AW87" s="92">
        <f t="shared" si="103"/>
        <v>2024</v>
      </c>
      <c r="AX87" s="92">
        <f aca="true" t="shared" si="106" ref="AX87:BX87">AX88</f>
        <v>0</v>
      </c>
      <c r="AY87" s="91">
        <f t="shared" si="106"/>
        <v>0</v>
      </c>
      <c r="AZ87" s="91">
        <f t="shared" si="106"/>
        <v>0</v>
      </c>
      <c r="BA87" s="91">
        <f t="shared" si="106"/>
        <v>0</v>
      </c>
      <c r="BB87" s="91">
        <f t="shared" si="106"/>
        <v>0</v>
      </c>
      <c r="BC87" s="91">
        <f t="shared" si="106"/>
        <v>0</v>
      </c>
      <c r="BD87" s="91">
        <f t="shared" si="106"/>
        <v>2024</v>
      </c>
      <c r="BE87" s="91">
        <f t="shared" si="106"/>
        <v>0</v>
      </c>
      <c r="BF87" s="91">
        <f t="shared" si="106"/>
        <v>0</v>
      </c>
      <c r="BG87" s="91">
        <f t="shared" si="106"/>
        <v>0</v>
      </c>
      <c r="BH87" s="91">
        <f t="shared" si="106"/>
        <v>0</v>
      </c>
      <c r="BI87" s="91">
        <f t="shared" si="106"/>
        <v>2024</v>
      </c>
      <c r="BJ87" s="91">
        <f t="shared" si="106"/>
        <v>0</v>
      </c>
      <c r="BK87" s="91">
        <f t="shared" si="106"/>
        <v>0</v>
      </c>
      <c r="BL87" s="91">
        <f t="shared" si="106"/>
        <v>0</v>
      </c>
      <c r="BM87" s="91">
        <f t="shared" si="106"/>
        <v>0</v>
      </c>
      <c r="BN87" s="91">
        <f t="shared" si="106"/>
        <v>0</v>
      </c>
      <c r="BO87" s="91">
        <f t="shared" si="106"/>
        <v>2024</v>
      </c>
      <c r="BP87" s="91">
        <f t="shared" si="106"/>
        <v>0</v>
      </c>
      <c r="BQ87" s="91">
        <f t="shared" si="106"/>
        <v>0</v>
      </c>
      <c r="BR87" s="91"/>
      <c r="BS87" s="91">
        <f t="shared" si="106"/>
        <v>0</v>
      </c>
      <c r="BT87" s="91">
        <f t="shared" si="106"/>
        <v>0</v>
      </c>
      <c r="BU87" s="91">
        <f t="shared" si="106"/>
        <v>2024</v>
      </c>
      <c r="BV87" s="91">
        <f t="shared" si="106"/>
        <v>0</v>
      </c>
      <c r="BW87" s="91">
        <f t="shared" si="106"/>
        <v>2024</v>
      </c>
      <c r="BX87" s="91">
        <f t="shared" si="106"/>
        <v>0</v>
      </c>
      <c r="BY87" s="77">
        <f t="shared" si="105"/>
        <v>100</v>
      </c>
      <c r="BZ87" s="72"/>
    </row>
    <row r="88" spans="1:78" s="14" customFormat="1" ht="100.5" customHeight="1" hidden="1">
      <c r="A88" s="88" t="s">
        <v>359</v>
      </c>
      <c r="B88" s="89" t="s">
        <v>135</v>
      </c>
      <c r="C88" s="89" t="s">
        <v>155</v>
      </c>
      <c r="D88" s="90" t="s">
        <v>195</v>
      </c>
      <c r="E88" s="89" t="s">
        <v>145</v>
      </c>
      <c r="F88" s="75">
        <v>1832</v>
      </c>
      <c r="G88" s="75">
        <f>H88-F88</f>
        <v>192</v>
      </c>
      <c r="H88" s="75">
        <v>2024</v>
      </c>
      <c r="I88" s="79"/>
      <c r="J88" s="79"/>
      <c r="K88" s="79"/>
      <c r="L88" s="79"/>
      <c r="M88" s="75">
        <f>H88+J88+K88+L88</f>
        <v>2024</v>
      </c>
      <c r="N88" s="78">
        <f>I88+L88</f>
        <v>0</v>
      </c>
      <c r="O88" s="79"/>
      <c r="P88" s="79"/>
      <c r="Q88" s="79"/>
      <c r="R88" s="79"/>
      <c r="S88" s="75">
        <f>M88+O88+P88+Q88+R88</f>
        <v>2024</v>
      </c>
      <c r="T88" s="75">
        <f>N88+R88</f>
        <v>0</v>
      </c>
      <c r="U88" s="79"/>
      <c r="V88" s="79"/>
      <c r="W88" s="79"/>
      <c r="X88" s="79"/>
      <c r="Y88" s="79"/>
      <c r="Z88" s="79"/>
      <c r="AA88" s="79"/>
      <c r="AB88" s="75">
        <f>S88+U88+V88+W88+X88+Y88+Z88+AA88</f>
        <v>2024</v>
      </c>
      <c r="AC88" s="80">
        <f>T88+Z88+AA88</f>
        <v>0</v>
      </c>
      <c r="AD88" s="80"/>
      <c r="AE88" s="80"/>
      <c r="AF88" s="75"/>
      <c r="AG88" s="80"/>
      <c r="AH88" s="80"/>
      <c r="AI88" s="75">
        <f>AB88+AD88+AE88+AF88+AG88+AH88</f>
        <v>2024</v>
      </c>
      <c r="AJ88" s="75">
        <f>AC88+AH88</f>
        <v>0</v>
      </c>
      <c r="AK88" s="79"/>
      <c r="AL88" s="75">
        <f>AI88+AK88</f>
        <v>2024</v>
      </c>
      <c r="AM88" s="75">
        <f>AJ88</f>
        <v>0</v>
      </c>
      <c r="AN88" s="79"/>
      <c r="AO88" s="79"/>
      <c r="AP88" s="79"/>
      <c r="AQ88" s="79"/>
      <c r="AR88" s="75">
        <f>AL88+AN88+AO88+AP88+AQ88</f>
        <v>2024</v>
      </c>
      <c r="AS88" s="75">
        <f>AM88+AQ88</f>
        <v>0</v>
      </c>
      <c r="AT88" s="81"/>
      <c r="AU88" s="81"/>
      <c r="AV88" s="81"/>
      <c r="AW88" s="76">
        <f>AV88+AU88+AT88+AR88</f>
        <v>2024</v>
      </c>
      <c r="AX88" s="76">
        <f>AV88+AS88</f>
        <v>0</v>
      </c>
      <c r="AY88" s="75"/>
      <c r="AZ88" s="75"/>
      <c r="BA88" s="75"/>
      <c r="BB88" s="75"/>
      <c r="BC88" s="75"/>
      <c r="BD88" s="75">
        <f>AW88+AY88+AZ88+BA88+BB88+BC88</f>
        <v>2024</v>
      </c>
      <c r="BE88" s="75">
        <f>AX88+BC88</f>
        <v>0</v>
      </c>
      <c r="BF88" s="79"/>
      <c r="BG88" s="79"/>
      <c r="BH88" s="79"/>
      <c r="BI88" s="75">
        <f>BD88+BF88+BG88+BH88</f>
        <v>2024</v>
      </c>
      <c r="BJ88" s="75">
        <f>BE88+BH88</f>
        <v>0</v>
      </c>
      <c r="BK88" s="78"/>
      <c r="BL88" s="78"/>
      <c r="BM88" s="78"/>
      <c r="BN88" s="78"/>
      <c r="BO88" s="75">
        <f>BI88+BK88+BL88+BM88+BN88</f>
        <v>2024</v>
      </c>
      <c r="BP88" s="75">
        <f>BJ88+BN88</f>
        <v>0</v>
      </c>
      <c r="BQ88" s="79"/>
      <c r="BR88" s="79"/>
      <c r="BS88" s="79"/>
      <c r="BT88" s="79"/>
      <c r="BU88" s="75">
        <f>BO88+BQ88+BS88+BT88</f>
        <v>2024</v>
      </c>
      <c r="BV88" s="75">
        <f>BP88+BT88</f>
        <v>0</v>
      </c>
      <c r="BW88" s="75">
        <v>2024</v>
      </c>
      <c r="BX88" s="75">
        <f>BR88+BV88</f>
        <v>0</v>
      </c>
      <c r="BY88" s="77">
        <f t="shared" si="105"/>
        <v>100</v>
      </c>
      <c r="BZ88" s="72"/>
    </row>
    <row r="89" spans="1:78" s="14" customFormat="1" ht="21.75" customHeight="1" hidden="1">
      <c r="A89" s="88" t="s">
        <v>311</v>
      </c>
      <c r="B89" s="89" t="s">
        <v>135</v>
      </c>
      <c r="C89" s="89" t="s">
        <v>155</v>
      </c>
      <c r="D89" s="90" t="s">
        <v>313</v>
      </c>
      <c r="E89" s="89"/>
      <c r="F89" s="75"/>
      <c r="G89" s="75"/>
      <c r="H89" s="75"/>
      <c r="I89" s="79"/>
      <c r="J89" s="79"/>
      <c r="K89" s="79"/>
      <c r="L89" s="79"/>
      <c r="M89" s="75"/>
      <c r="N89" s="78"/>
      <c r="O89" s="79"/>
      <c r="P89" s="79"/>
      <c r="Q89" s="79"/>
      <c r="R89" s="79"/>
      <c r="S89" s="75"/>
      <c r="T89" s="75"/>
      <c r="U89" s="79">
        <f aca="true" t="shared" si="107" ref="U89:AB90">U90</f>
        <v>0</v>
      </c>
      <c r="V89" s="79">
        <f t="shared" si="107"/>
        <v>0</v>
      </c>
      <c r="W89" s="79">
        <f t="shared" si="107"/>
        <v>0</v>
      </c>
      <c r="X89" s="79">
        <f t="shared" si="107"/>
        <v>0</v>
      </c>
      <c r="Y89" s="75">
        <f t="shared" si="107"/>
        <v>24961</v>
      </c>
      <c r="Z89" s="79">
        <f t="shared" si="107"/>
        <v>0</v>
      </c>
      <c r="AA89" s="79">
        <f t="shared" si="107"/>
        <v>0</v>
      </c>
      <c r="AB89" s="75">
        <f t="shared" si="107"/>
        <v>24961</v>
      </c>
      <c r="AC89" s="80">
        <f aca="true" t="shared" si="108" ref="AC89:AT90">AC90</f>
        <v>0</v>
      </c>
      <c r="AD89" s="80">
        <f t="shared" si="108"/>
        <v>0</v>
      </c>
      <c r="AE89" s="80">
        <f t="shared" si="108"/>
        <v>0</v>
      </c>
      <c r="AF89" s="75">
        <f t="shared" si="108"/>
        <v>0</v>
      </c>
      <c r="AG89" s="80">
        <f t="shared" si="108"/>
        <v>0</v>
      </c>
      <c r="AH89" s="80">
        <f t="shared" si="108"/>
        <v>0</v>
      </c>
      <c r="AI89" s="75">
        <f t="shared" si="108"/>
        <v>24961</v>
      </c>
      <c r="AJ89" s="75">
        <f t="shared" si="108"/>
        <v>0</v>
      </c>
      <c r="AK89" s="75">
        <f t="shared" si="108"/>
        <v>0</v>
      </c>
      <c r="AL89" s="75">
        <f t="shared" si="108"/>
        <v>24961</v>
      </c>
      <c r="AM89" s="75">
        <f t="shared" si="108"/>
        <v>0</v>
      </c>
      <c r="AN89" s="75">
        <f t="shared" si="108"/>
        <v>0</v>
      </c>
      <c r="AO89" s="75">
        <f t="shared" si="108"/>
        <v>0</v>
      </c>
      <c r="AP89" s="75">
        <f t="shared" si="108"/>
        <v>0</v>
      </c>
      <c r="AQ89" s="75">
        <f t="shared" si="108"/>
        <v>0</v>
      </c>
      <c r="AR89" s="75">
        <f t="shared" si="108"/>
        <v>24961</v>
      </c>
      <c r="AS89" s="75">
        <f t="shared" si="108"/>
        <v>0</v>
      </c>
      <c r="AT89" s="76">
        <f t="shared" si="108"/>
        <v>0</v>
      </c>
      <c r="AU89" s="76">
        <f aca="true" t="shared" si="109" ref="AT89:BJ90">AU90</f>
        <v>0</v>
      </c>
      <c r="AV89" s="76">
        <f t="shared" si="109"/>
        <v>0</v>
      </c>
      <c r="AW89" s="76">
        <f t="shared" si="109"/>
        <v>24961</v>
      </c>
      <c r="AX89" s="76">
        <f t="shared" si="109"/>
        <v>0</v>
      </c>
      <c r="AY89" s="75">
        <f t="shared" si="109"/>
        <v>0</v>
      </c>
      <c r="AZ89" s="75">
        <f t="shared" si="109"/>
        <v>0</v>
      </c>
      <c r="BA89" s="75">
        <f t="shared" si="109"/>
        <v>0</v>
      </c>
      <c r="BB89" s="75">
        <f t="shared" si="109"/>
        <v>0</v>
      </c>
      <c r="BC89" s="75">
        <f t="shared" si="109"/>
        <v>0</v>
      </c>
      <c r="BD89" s="75">
        <f t="shared" si="109"/>
        <v>24961</v>
      </c>
      <c r="BE89" s="75">
        <f t="shared" si="109"/>
        <v>0</v>
      </c>
      <c r="BF89" s="75">
        <f t="shared" si="109"/>
        <v>0</v>
      </c>
      <c r="BG89" s="75">
        <f t="shared" si="109"/>
        <v>0</v>
      </c>
      <c r="BH89" s="75">
        <f t="shared" si="109"/>
        <v>0</v>
      </c>
      <c r="BI89" s="75">
        <f t="shared" si="109"/>
        <v>24961</v>
      </c>
      <c r="BJ89" s="75">
        <f t="shared" si="109"/>
        <v>0</v>
      </c>
      <c r="BK89" s="75">
        <f aca="true" t="shared" si="110" ref="BK89:BP89">BK90</f>
        <v>0</v>
      </c>
      <c r="BL89" s="75">
        <f t="shared" si="110"/>
        <v>0</v>
      </c>
      <c r="BM89" s="75">
        <f t="shared" si="110"/>
        <v>-24961</v>
      </c>
      <c r="BN89" s="75">
        <f t="shared" si="110"/>
        <v>0</v>
      </c>
      <c r="BO89" s="75">
        <f t="shared" si="110"/>
        <v>0</v>
      </c>
      <c r="BP89" s="75">
        <f t="shared" si="110"/>
        <v>0</v>
      </c>
      <c r="BQ89" s="79"/>
      <c r="BR89" s="79"/>
      <c r="BS89" s="79"/>
      <c r="BT89" s="79"/>
      <c r="BU89" s="79"/>
      <c r="BV89" s="79"/>
      <c r="BW89" s="79"/>
      <c r="BX89" s="79"/>
      <c r="BY89" s="77" t="e">
        <f t="shared" si="105"/>
        <v>#DIV/0!</v>
      </c>
      <c r="BZ89" s="72"/>
    </row>
    <row r="90" spans="1:78" s="14" customFormat="1" ht="33.75" customHeight="1" hidden="1">
      <c r="A90" s="88" t="s">
        <v>312</v>
      </c>
      <c r="B90" s="89" t="s">
        <v>135</v>
      </c>
      <c r="C90" s="89" t="s">
        <v>155</v>
      </c>
      <c r="D90" s="90" t="s">
        <v>314</v>
      </c>
      <c r="E90" s="89"/>
      <c r="F90" s="75"/>
      <c r="G90" s="75"/>
      <c r="H90" s="75"/>
      <c r="I90" s="79"/>
      <c r="J90" s="79"/>
      <c r="K90" s="79"/>
      <c r="L90" s="79"/>
      <c r="M90" s="75"/>
      <c r="N90" s="78"/>
      <c r="O90" s="79"/>
      <c r="P90" s="79"/>
      <c r="Q90" s="79"/>
      <c r="R90" s="79"/>
      <c r="S90" s="75"/>
      <c r="T90" s="75"/>
      <c r="U90" s="79">
        <f t="shared" si="107"/>
        <v>0</v>
      </c>
      <c r="V90" s="79">
        <f t="shared" si="107"/>
        <v>0</v>
      </c>
      <c r="W90" s="79">
        <f t="shared" si="107"/>
        <v>0</v>
      </c>
      <c r="X90" s="79">
        <f t="shared" si="107"/>
        <v>0</v>
      </c>
      <c r="Y90" s="75">
        <f t="shared" si="107"/>
        <v>24961</v>
      </c>
      <c r="Z90" s="79">
        <f t="shared" si="107"/>
        <v>0</v>
      </c>
      <c r="AA90" s="79">
        <f t="shared" si="107"/>
        <v>0</v>
      </c>
      <c r="AB90" s="75">
        <f t="shared" si="107"/>
        <v>24961</v>
      </c>
      <c r="AC90" s="80">
        <f t="shared" si="108"/>
        <v>0</v>
      </c>
      <c r="AD90" s="80">
        <f t="shared" si="108"/>
        <v>0</v>
      </c>
      <c r="AE90" s="80">
        <f t="shared" si="108"/>
        <v>0</v>
      </c>
      <c r="AF90" s="75">
        <f t="shared" si="108"/>
        <v>0</v>
      </c>
      <c r="AG90" s="80">
        <f t="shared" si="108"/>
        <v>0</v>
      </c>
      <c r="AH90" s="80">
        <f t="shared" si="108"/>
        <v>0</v>
      </c>
      <c r="AI90" s="75">
        <f t="shared" si="108"/>
        <v>24961</v>
      </c>
      <c r="AJ90" s="75">
        <f t="shared" si="108"/>
        <v>0</v>
      </c>
      <c r="AK90" s="75">
        <f t="shared" si="108"/>
        <v>0</v>
      </c>
      <c r="AL90" s="75">
        <f t="shared" si="108"/>
        <v>24961</v>
      </c>
      <c r="AM90" s="75">
        <f t="shared" si="108"/>
        <v>0</v>
      </c>
      <c r="AN90" s="75">
        <f t="shared" si="108"/>
        <v>0</v>
      </c>
      <c r="AO90" s="75">
        <f t="shared" si="108"/>
        <v>0</v>
      </c>
      <c r="AP90" s="75">
        <f t="shared" si="108"/>
        <v>0</v>
      </c>
      <c r="AQ90" s="75">
        <f t="shared" si="108"/>
        <v>0</v>
      </c>
      <c r="AR90" s="75">
        <f t="shared" si="108"/>
        <v>24961</v>
      </c>
      <c r="AS90" s="75">
        <f t="shared" si="108"/>
        <v>0</v>
      </c>
      <c r="AT90" s="76">
        <f t="shared" si="109"/>
        <v>0</v>
      </c>
      <c r="AU90" s="76">
        <f t="shared" si="109"/>
        <v>0</v>
      </c>
      <c r="AV90" s="76">
        <f t="shared" si="109"/>
        <v>0</v>
      </c>
      <c r="AW90" s="76">
        <f t="shared" si="109"/>
        <v>24961</v>
      </c>
      <c r="AX90" s="76">
        <f t="shared" si="109"/>
        <v>0</v>
      </c>
      <c r="AY90" s="75">
        <f t="shared" si="109"/>
        <v>0</v>
      </c>
      <c r="AZ90" s="75">
        <f t="shared" si="109"/>
        <v>0</v>
      </c>
      <c r="BA90" s="75">
        <f t="shared" si="109"/>
        <v>0</v>
      </c>
      <c r="BB90" s="75">
        <f t="shared" si="109"/>
        <v>0</v>
      </c>
      <c r="BC90" s="75">
        <f t="shared" si="109"/>
        <v>0</v>
      </c>
      <c r="BD90" s="75">
        <f t="shared" si="109"/>
        <v>24961</v>
      </c>
      <c r="BE90" s="75">
        <f aca="true" t="shared" si="111" ref="BE90:BP90">BE91</f>
        <v>0</v>
      </c>
      <c r="BF90" s="75">
        <f t="shared" si="111"/>
        <v>0</v>
      </c>
      <c r="BG90" s="75">
        <f t="shared" si="111"/>
        <v>0</v>
      </c>
      <c r="BH90" s="75">
        <f t="shared" si="111"/>
        <v>0</v>
      </c>
      <c r="BI90" s="75">
        <f t="shared" si="111"/>
        <v>24961</v>
      </c>
      <c r="BJ90" s="75">
        <f t="shared" si="111"/>
        <v>0</v>
      </c>
      <c r="BK90" s="75">
        <f t="shared" si="111"/>
        <v>0</v>
      </c>
      <c r="BL90" s="75">
        <f t="shared" si="111"/>
        <v>0</v>
      </c>
      <c r="BM90" s="75">
        <f t="shared" si="111"/>
        <v>-24961</v>
      </c>
      <c r="BN90" s="75">
        <f t="shared" si="111"/>
        <v>0</v>
      </c>
      <c r="BO90" s="75">
        <f t="shared" si="111"/>
        <v>0</v>
      </c>
      <c r="BP90" s="75">
        <f t="shared" si="111"/>
        <v>0</v>
      </c>
      <c r="BQ90" s="79"/>
      <c r="BR90" s="79"/>
      <c r="BS90" s="79"/>
      <c r="BT90" s="79"/>
      <c r="BU90" s="79"/>
      <c r="BV90" s="79"/>
      <c r="BW90" s="79"/>
      <c r="BX90" s="79"/>
      <c r="BY90" s="77" t="e">
        <f t="shared" si="105"/>
        <v>#DIV/0!</v>
      </c>
      <c r="BZ90" s="72"/>
    </row>
    <row r="91" spans="1:78" s="14" customFormat="1" ht="37.5" customHeight="1" hidden="1">
      <c r="A91" s="88" t="s">
        <v>258</v>
      </c>
      <c r="B91" s="89" t="s">
        <v>135</v>
      </c>
      <c r="C91" s="89" t="s">
        <v>155</v>
      </c>
      <c r="D91" s="90" t="s">
        <v>314</v>
      </c>
      <c r="E91" s="89" t="s">
        <v>257</v>
      </c>
      <c r="F91" s="75"/>
      <c r="G91" s="75"/>
      <c r="H91" s="75"/>
      <c r="I91" s="79"/>
      <c r="J91" s="79"/>
      <c r="K91" s="79"/>
      <c r="L91" s="79"/>
      <c r="M91" s="75"/>
      <c r="N91" s="78"/>
      <c r="O91" s="79"/>
      <c r="P91" s="79"/>
      <c r="Q91" s="79"/>
      <c r="R91" s="79"/>
      <c r="S91" s="75"/>
      <c r="T91" s="75"/>
      <c r="U91" s="79"/>
      <c r="V91" s="79"/>
      <c r="W91" s="79"/>
      <c r="X91" s="79"/>
      <c r="Y91" s="75">
        <v>24961</v>
      </c>
      <c r="Z91" s="79"/>
      <c r="AA91" s="79"/>
      <c r="AB91" s="75">
        <f>S91+U91+V91+W91+X91+Y91+Z91+AA91</f>
        <v>24961</v>
      </c>
      <c r="AC91" s="80">
        <f>T91+Z91+AA91</f>
        <v>0</v>
      </c>
      <c r="AD91" s="80"/>
      <c r="AE91" s="80"/>
      <c r="AF91" s="75"/>
      <c r="AG91" s="80"/>
      <c r="AH91" s="80"/>
      <c r="AI91" s="75">
        <f>AB91+AD91+AE91+AF91+AG91+AH91</f>
        <v>24961</v>
      </c>
      <c r="AJ91" s="75">
        <f>AC91+AH91</f>
        <v>0</v>
      </c>
      <c r="AK91" s="79"/>
      <c r="AL91" s="75">
        <f>AI91+AK91</f>
        <v>24961</v>
      </c>
      <c r="AM91" s="75">
        <f>AJ91</f>
        <v>0</v>
      </c>
      <c r="AN91" s="79"/>
      <c r="AO91" s="79"/>
      <c r="AP91" s="79"/>
      <c r="AQ91" s="79"/>
      <c r="AR91" s="75">
        <f>AL91+AN91+AO91+AP91+AQ91</f>
        <v>24961</v>
      </c>
      <c r="AS91" s="75">
        <f>AM91+AQ91</f>
        <v>0</v>
      </c>
      <c r="AT91" s="81"/>
      <c r="AU91" s="81"/>
      <c r="AV91" s="81"/>
      <c r="AW91" s="76">
        <f>AV91+AU91+AT91+AR91</f>
        <v>24961</v>
      </c>
      <c r="AX91" s="76">
        <f>AV91+AS91</f>
        <v>0</v>
      </c>
      <c r="AY91" s="75"/>
      <c r="AZ91" s="75"/>
      <c r="BA91" s="75"/>
      <c r="BB91" s="75"/>
      <c r="BC91" s="75"/>
      <c r="BD91" s="75">
        <f>AW91+AY91+AZ91+BA91+BB91+BC91</f>
        <v>24961</v>
      </c>
      <c r="BE91" s="75">
        <f>AX91+BC91</f>
        <v>0</v>
      </c>
      <c r="BF91" s="79"/>
      <c r="BG91" s="79"/>
      <c r="BH91" s="79"/>
      <c r="BI91" s="75">
        <f>BD91+BF91+BG91+BH91</f>
        <v>24961</v>
      </c>
      <c r="BJ91" s="75">
        <f>BE91+BH91</f>
        <v>0</v>
      </c>
      <c r="BK91" s="78"/>
      <c r="BL91" s="78"/>
      <c r="BM91" s="75">
        <v>-24961</v>
      </c>
      <c r="BN91" s="78"/>
      <c r="BO91" s="75">
        <f>BI91+BK91+BL91+BM91+BN91</f>
        <v>0</v>
      </c>
      <c r="BP91" s="75">
        <f>BJ91+BN91</f>
        <v>0</v>
      </c>
      <c r="BQ91" s="79"/>
      <c r="BR91" s="79"/>
      <c r="BS91" s="79"/>
      <c r="BT91" s="79"/>
      <c r="BU91" s="79"/>
      <c r="BV91" s="79"/>
      <c r="BW91" s="79"/>
      <c r="BX91" s="79"/>
      <c r="BY91" s="77" t="e">
        <f t="shared" si="105"/>
        <v>#DIV/0!</v>
      </c>
      <c r="BZ91" s="72"/>
    </row>
    <row r="92" spans="1:78" s="14" customFormat="1" ht="26.25" customHeight="1" hidden="1">
      <c r="A92" s="88" t="s">
        <v>42</v>
      </c>
      <c r="B92" s="89" t="s">
        <v>135</v>
      </c>
      <c r="C92" s="89" t="s">
        <v>155</v>
      </c>
      <c r="D92" s="90" t="s">
        <v>159</v>
      </c>
      <c r="E92" s="89"/>
      <c r="F92" s="91">
        <f aca="true" t="shared" si="112" ref="F92:M92">F93+F95+F97</f>
        <v>256376</v>
      </c>
      <c r="G92" s="91">
        <f t="shared" si="112"/>
        <v>40122</v>
      </c>
      <c r="H92" s="91">
        <f t="shared" si="112"/>
        <v>296498</v>
      </c>
      <c r="I92" s="91">
        <f t="shared" si="112"/>
        <v>0</v>
      </c>
      <c r="J92" s="91">
        <f t="shared" si="112"/>
        <v>0</v>
      </c>
      <c r="K92" s="91">
        <f t="shared" si="112"/>
        <v>0</v>
      </c>
      <c r="L92" s="91">
        <f t="shared" si="112"/>
        <v>0</v>
      </c>
      <c r="M92" s="91">
        <f t="shared" si="112"/>
        <v>296498</v>
      </c>
      <c r="N92" s="91">
        <f aca="true" t="shared" si="113" ref="N92:S92">N93+N95+N97</f>
        <v>0</v>
      </c>
      <c r="O92" s="91">
        <f t="shared" si="113"/>
        <v>0</v>
      </c>
      <c r="P92" s="91"/>
      <c r="Q92" s="91">
        <f t="shared" si="113"/>
        <v>0</v>
      </c>
      <c r="R92" s="91">
        <f t="shared" si="113"/>
        <v>0</v>
      </c>
      <c r="S92" s="91">
        <f t="shared" si="113"/>
        <v>296498</v>
      </c>
      <c r="T92" s="91">
        <f aca="true" t="shared" si="114" ref="T92:AI92">T93+T95+T97</f>
        <v>0</v>
      </c>
      <c r="U92" s="91">
        <f t="shared" si="114"/>
        <v>0</v>
      </c>
      <c r="V92" s="91">
        <f t="shared" si="114"/>
        <v>0</v>
      </c>
      <c r="W92" s="91">
        <f t="shared" si="114"/>
        <v>0</v>
      </c>
      <c r="X92" s="91">
        <f t="shared" si="114"/>
        <v>0</v>
      </c>
      <c r="Y92" s="91">
        <f t="shared" si="114"/>
        <v>0</v>
      </c>
      <c r="Z92" s="91">
        <f t="shared" si="114"/>
        <v>0</v>
      </c>
      <c r="AA92" s="91">
        <f t="shared" si="114"/>
        <v>0</v>
      </c>
      <c r="AB92" s="91">
        <f t="shared" si="114"/>
        <v>296498</v>
      </c>
      <c r="AC92" s="91">
        <f t="shared" si="114"/>
        <v>0</v>
      </c>
      <c r="AD92" s="91">
        <f t="shared" si="114"/>
        <v>0</v>
      </c>
      <c r="AE92" s="91">
        <f t="shared" si="114"/>
        <v>0</v>
      </c>
      <c r="AF92" s="91">
        <f t="shared" si="114"/>
        <v>-20000</v>
      </c>
      <c r="AG92" s="91">
        <f t="shared" si="114"/>
        <v>0</v>
      </c>
      <c r="AH92" s="91">
        <f t="shared" si="114"/>
        <v>0</v>
      </c>
      <c r="AI92" s="91">
        <f t="shared" si="114"/>
        <v>276498</v>
      </c>
      <c r="AJ92" s="91">
        <f>AJ93+AJ95+AJ97</f>
        <v>0</v>
      </c>
      <c r="AK92" s="91">
        <f>AK93+AK95+AK97</f>
        <v>0</v>
      </c>
      <c r="AL92" s="91">
        <f>AL93+AL95+AL97</f>
        <v>276498</v>
      </c>
      <c r="AM92" s="91">
        <f aca="true" t="shared" si="115" ref="AM92:AS92">AM93+AM95+AM97</f>
        <v>0</v>
      </c>
      <c r="AN92" s="91">
        <f t="shared" si="115"/>
        <v>0</v>
      </c>
      <c r="AO92" s="91">
        <f>AO93+AO95+AO97</f>
        <v>0</v>
      </c>
      <c r="AP92" s="91">
        <f t="shared" si="115"/>
        <v>0</v>
      </c>
      <c r="AQ92" s="91">
        <f t="shared" si="115"/>
        <v>0</v>
      </c>
      <c r="AR92" s="91">
        <f t="shared" si="115"/>
        <v>276498</v>
      </c>
      <c r="AS92" s="91">
        <f t="shared" si="115"/>
        <v>0</v>
      </c>
      <c r="AT92" s="92">
        <f>AT93+AT95+AT97</f>
        <v>0</v>
      </c>
      <c r="AU92" s="92">
        <f>AU93+AU95+AU97</f>
        <v>0</v>
      </c>
      <c r="AV92" s="92">
        <f>AV93+AV95+AV97</f>
        <v>0</v>
      </c>
      <c r="AW92" s="92">
        <f>AW93+AW95+AW97</f>
        <v>276498</v>
      </c>
      <c r="AX92" s="92">
        <f aca="true" t="shared" si="116" ref="AX92:BI92">AX93+AX95+AX97</f>
        <v>0</v>
      </c>
      <c r="AY92" s="91">
        <f t="shared" si="116"/>
        <v>-7620</v>
      </c>
      <c r="AZ92" s="91">
        <f>AZ93+AZ95+AZ97</f>
        <v>0</v>
      </c>
      <c r="BA92" s="91">
        <f>BA93+BA95+BA97</f>
        <v>0</v>
      </c>
      <c r="BB92" s="91">
        <f>BB93+BB95+BB97</f>
        <v>280</v>
      </c>
      <c r="BC92" s="91">
        <f t="shared" si="116"/>
        <v>0</v>
      </c>
      <c r="BD92" s="91">
        <f t="shared" si="116"/>
        <v>269158</v>
      </c>
      <c r="BE92" s="91">
        <f t="shared" si="116"/>
        <v>0</v>
      </c>
      <c r="BF92" s="91">
        <f t="shared" si="116"/>
        <v>0</v>
      </c>
      <c r="BG92" s="91">
        <f t="shared" si="116"/>
        <v>0</v>
      </c>
      <c r="BH92" s="91">
        <f t="shared" si="116"/>
        <v>0</v>
      </c>
      <c r="BI92" s="91">
        <f t="shared" si="116"/>
        <v>269158</v>
      </c>
      <c r="BJ92" s="91">
        <f aca="true" t="shared" si="117" ref="BJ92:BP92">BJ93+BJ95+BJ97</f>
        <v>0</v>
      </c>
      <c r="BK92" s="91">
        <f t="shared" si="117"/>
        <v>0</v>
      </c>
      <c r="BL92" s="91">
        <f t="shared" si="117"/>
        <v>0</v>
      </c>
      <c r="BM92" s="91">
        <f t="shared" si="117"/>
        <v>0</v>
      </c>
      <c r="BN92" s="91">
        <f t="shared" si="117"/>
        <v>0</v>
      </c>
      <c r="BO92" s="91">
        <f t="shared" si="117"/>
        <v>269158</v>
      </c>
      <c r="BP92" s="91">
        <f t="shared" si="117"/>
        <v>0</v>
      </c>
      <c r="BQ92" s="91">
        <f>BQ93+BQ95+BQ97</f>
        <v>0</v>
      </c>
      <c r="BR92" s="91"/>
      <c r="BS92" s="91">
        <f aca="true" t="shared" si="118" ref="BS92:BX92">BS93+BS95+BS97</f>
        <v>-10800</v>
      </c>
      <c r="BT92" s="91">
        <f t="shared" si="118"/>
        <v>0</v>
      </c>
      <c r="BU92" s="91">
        <f t="shared" si="118"/>
        <v>258358</v>
      </c>
      <c r="BV92" s="91">
        <f t="shared" si="118"/>
        <v>0</v>
      </c>
      <c r="BW92" s="91">
        <f t="shared" si="118"/>
        <v>256081</v>
      </c>
      <c r="BX92" s="91">
        <f t="shared" si="118"/>
        <v>0</v>
      </c>
      <c r="BY92" s="77">
        <f t="shared" si="105"/>
        <v>99.11866479845796</v>
      </c>
      <c r="BZ92" s="72"/>
    </row>
    <row r="93" spans="1:78" s="14" customFormat="1" ht="94.5" customHeight="1" hidden="1">
      <c r="A93" s="126" t="s">
        <v>202</v>
      </c>
      <c r="B93" s="89" t="s">
        <v>135</v>
      </c>
      <c r="C93" s="89" t="s">
        <v>155</v>
      </c>
      <c r="D93" s="90" t="s">
        <v>196</v>
      </c>
      <c r="E93" s="89"/>
      <c r="F93" s="91">
        <f>F94</f>
        <v>120788</v>
      </c>
      <c r="G93" s="91">
        <f>G94</f>
        <v>-38928</v>
      </c>
      <c r="H93" s="91">
        <f>H94</f>
        <v>81860</v>
      </c>
      <c r="I93" s="91">
        <f aca="true" t="shared" si="119" ref="I93:BW93">I94</f>
        <v>0</v>
      </c>
      <c r="J93" s="91">
        <f t="shared" si="119"/>
        <v>0</v>
      </c>
      <c r="K93" s="91">
        <f t="shared" si="119"/>
        <v>0</v>
      </c>
      <c r="L93" s="91">
        <f t="shared" si="119"/>
        <v>0</v>
      </c>
      <c r="M93" s="91">
        <f t="shared" si="119"/>
        <v>81860</v>
      </c>
      <c r="N93" s="91">
        <f t="shared" si="119"/>
        <v>0</v>
      </c>
      <c r="O93" s="91">
        <f t="shared" si="119"/>
        <v>0</v>
      </c>
      <c r="P93" s="91"/>
      <c r="Q93" s="91">
        <f t="shared" si="119"/>
        <v>0</v>
      </c>
      <c r="R93" s="91">
        <f t="shared" si="119"/>
        <v>0</v>
      </c>
      <c r="S93" s="91">
        <f t="shared" si="119"/>
        <v>81860</v>
      </c>
      <c r="T93" s="91">
        <f t="shared" si="119"/>
        <v>0</v>
      </c>
      <c r="U93" s="91">
        <f t="shared" si="119"/>
        <v>0</v>
      </c>
      <c r="V93" s="91">
        <f t="shared" si="119"/>
        <v>0</v>
      </c>
      <c r="W93" s="91">
        <f t="shared" si="119"/>
        <v>0</v>
      </c>
      <c r="X93" s="91">
        <f t="shared" si="119"/>
        <v>0</v>
      </c>
      <c r="Y93" s="91">
        <f t="shared" si="119"/>
        <v>0</v>
      </c>
      <c r="Z93" s="91">
        <f t="shared" si="119"/>
        <v>0</v>
      </c>
      <c r="AA93" s="91">
        <f t="shared" si="119"/>
        <v>0</v>
      </c>
      <c r="AB93" s="91">
        <f t="shared" si="119"/>
        <v>81860</v>
      </c>
      <c r="AC93" s="91">
        <f t="shared" si="119"/>
        <v>0</v>
      </c>
      <c r="AD93" s="91">
        <f t="shared" si="119"/>
        <v>0</v>
      </c>
      <c r="AE93" s="91">
        <f t="shared" si="119"/>
        <v>0</v>
      </c>
      <c r="AF93" s="91">
        <f t="shared" si="119"/>
        <v>0</v>
      </c>
      <c r="AG93" s="91">
        <f t="shared" si="119"/>
        <v>0</v>
      </c>
      <c r="AH93" s="91">
        <f t="shared" si="119"/>
        <v>0</v>
      </c>
      <c r="AI93" s="91">
        <f t="shared" si="119"/>
        <v>81860</v>
      </c>
      <c r="AJ93" s="91">
        <f t="shared" si="119"/>
        <v>0</v>
      </c>
      <c r="AK93" s="91">
        <f t="shared" si="119"/>
        <v>0</v>
      </c>
      <c r="AL93" s="91">
        <f t="shared" si="119"/>
        <v>81860</v>
      </c>
      <c r="AM93" s="91">
        <f t="shared" si="119"/>
        <v>0</v>
      </c>
      <c r="AN93" s="91">
        <f t="shared" si="119"/>
        <v>0</v>
      </c>
      <c r="AO93" s="91">
        <f t="shared" si="119"/>
        <v>0</v>
      </c>
      <c r="AP93" s="91">
        <f t="shared" si="119"/>
        <v>0</v>
      </c>
      <c r="AQ93" s="91">
        <f t="shared" si="119"/>
        <v>0</v>
      </c>
      <c r="AR93" s="91">
        <f t="shared" si="119"/>
        <v>81860</v>
      </c>
      <c r="AS93" s="91">
        <f t="shared" si="119"/>
        <v>0</v>
      </c>
      <c r="AT93" s="92">
        <f t="shared" si="119"/>
        <v>0</v>
      </c>
      <c r="AU93" s="92">
        <f t="shared" si="119"/>
        <v>0</v>
      </c>
      <c r="AV93" s="92">
        <f t="shared" si="119"/>
        <v>0</v>
      </c>
      <c r="AW93" s="92">
        <f t="shared" si="119"/>
        <v>81860</v>
      </c>
      <c r="AX93" s="92">
        <f t="shared" si="119"/>
        <v>0</v>
      </c>
      <c r="AY93" s="91">
        <f t="shared" si="119"/>
        <v>-1500</v>
      </c>
      <c r="AZ93" s="91">
        <f t="shared" si="119"/>
        <v>0</v>
      </c>
      <c r="BA93" s="91">
        <f t="shared" si="119"/>
        <v>0</v>
      </c>
      <c r="BB93" s="91">
        <f t="shared" si="119"/>
        <v>0</v>
      </c>
      <c r="BC93" s="91">
        <f t="shared" si="119"/>
        <v>0</v>
      </c>
      <c r="BD93" s="91">
        <f t="shared" si="119"/>
        <v>80360</v>
      </c>
      <c r="BE93" s="91">
        <f t="shared" si="119"/>
        <v>0</v>
      </c>
      <c r="BF93" s="91">
        <f t="shared" si="119"/>
        <v>0</v>
      </c>
      <c r="BG93" s="91">
        <f t="shared" si="119"/>
        <v>0</v>
      </c>
      <c r="BH93" s="91">
        <f t="shared" si="119"/>
        <v>0</v>
      </c>
      <c r="BI93" s="91">
        <f t="shared" si="119"/>
        <v>80360</v>
      </c>
      <c r="BJ93" s="91">
        <f t="shared" si="119"/>
        <v>0</v>
      </c>
      <c r="BK93" s="91">
        <f t="shared" si="119"/>
        <v>0</v>
      </c>
      <c r="BL93" s="91">
        <f t="shared" si="119"/>
        <v>0</v>
      </c>
      <c r="BM93" s="91">
        <f t="shared" si="119"/>
        <v>0</v>
      </c>
      <c r="BN93" s="91">
        <f t="shared" si="119"/>
        <v>0</v>
      </c>
      <c r="BO93" s="91">
        <f t="shared" si="119"/>
        <v>80360</v>
      </c>
      <c r="BP93" s="91">
        <f t="shared" si="119"/>
        <v>0</v>
      </c>
      <c r="BQ93" s="91">
        <f t="shared" si="119"/>
        <v>0</v>
      </c>
      <c r="BR93" s="91"/>
      <c r="BS93" s="91">
        <f t="shared" si="119"/>
        <v>-10000</v>
      </c>
      <c r="BT93" s="91">
        <f t="shared" si="119"/>
        <v>0</v>
      </c>
      <c r="BU93" s="91">
        <f t="shared" si="119"/>
        <v>70360</v>
      </c>
      <c r="BV93" s="91">
        <f>BV94</f>
        <v>0</v>
      </c>
      <c r="BW93" s="91">
        <f t="shared" si="119"/>
        <v>68259</v>
      </c>
      <c r="BX93" s="91">
        <f>BX94</f>
        <v>0</v>
      </c>
      <c r="BY93" s="77">
        <f t="shared" si="105"/>
        <v>97.01392836839113</v>
      </c>
      <c r="BZ93" s="72"/>
    </row>
    <row r="94" spans="1:78" s="14" customFormat="1" ht="106.5" customHeight="1" hidden="1">
      <c r="A94" s="88" t="s">
        <v>359</v>
      </c>
      <c r="B94" s="89" t="s">
        <v>135</v>
      </c>
      <c r="C94" s="89" t="s">
        <v>155</v>
      </c>
      <c r="D94" s="90" t="s">
        <v>196</v>
      </c>
      <c r="E94" s="89" t="s">
        <v>145</v>
      </c>
      <c r="F94" s="75">
        <v>120788</v>
      </c>
      <c r="G94" s="75">
        <f>H94-F94</f>
        <v>-38928</v>
      </c>
      <c r="H94" s="75">
        <v>81860</v>
      </c>
      <c r="I94" s="79"/>
      <c r="J94" s="79"/>
      <c r="K94" s="79"/>
      <c r="L94" s="79"/>
      <c r="M94" s="75">
        <f>H94+J94+K94+L94</f>
        <v>81860</v>
      </c>
      <c r="N94" s="78">
        <f>I94+L94</f>
        <v>0</v>
      </c>
      <c r="O94" s="79"/>
      <c r="P94" s="79"/>
      <c r="Q94" s="79"/>
      <c r="R94" s="79"/>
      <c r="S94" s="75">
        <f>M94+O94+P94+Q94+R94</f>
        <v>81860</v>
      </c>
      <c r="T94" s="75">
        <f>N94+R94</f>
        <v>0</v>
      </c>
      <c r="U94" s="79"/>
      <c r="V94" s="79"/>
      <c r="W94" s="79"/>
      <c r="X94" s="79"/>
      <c r="Y94" s="79"/>
      <c r="Z94" s="79"/>
      <c r="AA94" s="79"/>
      <c r="AB94" s="75">
        <f>S94+U94+V94+W94+X94+Y94+Z94+AA94</f>
        <v>81860</v>
      </c>
      <c r="AC94" s="80">
        <f>T94+Z94+AA94</f>
        <v>0</v>
      </c>
      <c r="AD94" s="80"/>
      <c r="AE94" s="80"/>
      <c r="AF94" s="75"/>
      <c r="AG94" s="80"/>
      <c r="AH94" s="80"/>
      <c r="AI94" s="75">
        <f>AB94+AD94+AE94+AF94+AG94+AH94</f>
        <v>81860</v>
      </c>
      <c r="AJ94" s="75">
        <f>AC94+AH94</f>
        <v>0</v>
      </c>
      <c r="AK94" s="79"/>
      <c r="AL94" s="75">
        <f>AI94+AK94</f>
        <v>81860</v>
      </c>
      <c r="AM94" s="75">
        <f>AJ94</f>
        <v>0</v>
      </c>
      <c r="AN94" s="79"/>
      <c r="AO94" s="79"/>
      <c r="AP94" s="79"/>
      <c r="AQ94" s="79"/>
      <c r="AR94" s="75">
        <f>AL94+AN94+AO94+AP94+AQ94</f>
        <v>81860</v>
      </c>
      <c r="AS94" s="75">
        <f>AM94+AQ94</f>
        <v>0</v>
      </c>
      <c r="AT94" s="81"/>
      <c r="AU94" s="81"/>
      <c r="AV94" s="81"/>
      <c r="AW94" s="76">
        <f>AV94+AU94+AT94+AR94</f>
        <v>81860</v>
      </c>
      <c r="AX94" s="76">
        <f>AV94+AS94</f>
        <v>0</v>
      </c>
      <c r="AY94" s="75">
        <v>-1500</v>
      </c>
      <c r="AZ94" s="75"/>
      <c r="BA94" s="75"/>
      <c r="BB94" s="75"/>
      <c r="BC94" s="75"/>
      <c r="BD94" s="75">
        <f>AW94+AY94+AZ94+BA94+BB94+BC94</f>
        <v>80360</v>
      </c>
      <c r="BE94" s="75">
        <f>AX94+BC94</f>
        <v>0</v>
      </c>
      <c r="BF94" s="79"/>
      <c r="BG94" s="79"/>
      <c r="BH94" s="79"/>
      <c r="BI94" s="75">
        <f>BD94+BF94+BG94+BH94</f>
        <v>80360</v>
      </c>
      <c r="BJ94" s="75">
        <f>BE94+BH94</f>
        <v>0</v>
      </c>
      <c r="BK94" s="78"/>
      <c r="BL94" s="78"/>
      <c r="BM94" s="78"/>
      <c r="BN94" s="78"/>
      <c r="BO94" s="75">
        <f>BI94+BK94+BL94+BM94+BN94</f>
        <v>80360</v>
      </c>
      <c r="BP94" s="75">
        <f>BJ94+BN94</f>
        <v>0</v>
      </c>
      <c r="BQ94" s="79"/>
      <c r="BR94" s="79"/>
      <c r="BS94" s="75">
        <v>-10000</v>
      </c>
      <c r="BT94" s="79"/>
      <c r="BU94" s="75">
        <f>BO94+BQ94+BS94+BT94</f>
        <v>70360</v>
      </c>
      <c r="BV94" s="75">
        <f>BP94+BT94</f>
        <v>0</v>
      </c>
      <c r="BW94" s="75">
        <v>68259</v>
      </c>
      <c r="BX94" s="75">
        <f>BR94+BV94</f>
        <v>0</v>
      </c>
      <c r="BY94" s="77">
        <f t="shared" si="105"/>
        <v>97.01392836839113</v>
      </c>
      <c r="BZ94" s="72"/>
    </row>
    <row r="95" spans="1:78" s="14" customFormat="1" ht="65.25" customHeight="1" hidden="1">
      <c r="A95" s="126" t="s">
        <v>203</v>
      </c>
      <c r="B95" s="89" t="s">
        <v>135</v>
      </c>
      <c r="C95" s="89" t="s">
        <v>155</v>
      </c>
      <c r="D95" s="90" t="s">
        <v>197</v>
      </c>
      <c r="E95" s="89"/>
      <c r="F95" s="91">
        <f>F96</f>
        <v>125119</v>
      </c>
      <c r="G95" s="91">
        <f>G96</f>
        <v>78990</v>
      </c>
      <c r="H95" s="91">
        <f>H96</f>
        <v>204109</v>
      </c>
      <c r="I95" s="91">
        <f aca="true" t="shared" si="120" ref="I95:BW95">I96</f>
        <v>0</v>
      </c>
      <c r="J95" s="91">
        <f t="shared" si="120"/>
        <v>0</v>
      </c>
      <c r="K95" s="91">
        <f t="shared" si="120"/>
        <v>0</v>
      </c>
      <c r="L95" s="91">
        <f t="shared" si="120"/>
        <v>0</v>
      </c>
      <c r="M95" s="91">
        <f t="shared" si="120"/>
        <v>204109</v>
      </c>
      <c r="N95" s="91">
        <f t="shared" si="120"/>
        <v>0</v>
      </c>
      <c r="O95" s="91">
        <f t="shared" si="120"/>
        <v>0</v>
      </c>
      <c r="P95" s="91"/>
      <c r="Q95" s="91">
        <f t="shared" si="120"/>
        <v>0</v>
      </c>
      <c r="R95" s="91">
        <f t="shared" si="120"/>
        <v>0</v>
      </c>
      <c r="S95" s="91">
        <f t="shared" si="120"/>
        <v>204109</v>
      </c>
      <c r="T95" s="91">
        <f t="shared" si="120"/>
        <v>0</v>
      </c>
      <c r="U95" s="91">
        <f t="shared" si="120"/>
        <v>0</v>
      </c>
      <c r="V95" s="91">
        <f t="shared" si="120"/>
        <v>0</v>
      </c>
      <c r="W95" s="91">
        <f t="shared" si="120"/>
        <v>0</v>
      </c>
      <c r="X95" s="91">
        <f t="shared" si="120"/>
        <v>0</v>
      </c>
      <c r="Y95" s="91">
        <f t="shared" si="120"/>
        <v>0</v>
      </c>
      <c r="Z95" s="91">
        <f t="shared" si="120"/>
        <v>0</v>
      </c>
      <c r="AA95" s="91">
        <f t="shared" si="120"/>
        <v>0</v>
      </c>
      <c r="AB95" s="91">
        <f t="shared" si="120"/>
        <v>204109</v>
      </c>
      <c r="AC95" s="91">
        <f t="shared" si="120"/>
        <v>0</v>
      </c>
      <c r="AD95" s="91">
        <f t="shared" si="120"/>
        <v>0</v>
      </c>
      <c r="AE95" s="91">
        <f t="shared" si="120"/>
        <v>0</v>
      </c>
      <c r="AF95" s="91">
        <f t="shared" si="120"/>
        <v>-20000</v>
      </c>
      <c r="AG95" s="91">
        <f t="shared" si="120"/>
        <v>0</v>
      </c>
      <c r="AH95" s="91">
        <f t="shared" si="120"/>
        <v>0</v>
      </c>
      <c r="AI95" s="91">
        <f t="shared" si="120"/>
        <v>184109</v>
      </c>
      <c r="AJ95" s="91">
        <f t="shared" si="120"/>
        <v>0</v>
      </c>
      <c r="AK95" s="91">
        <f t="shared" si="120"/>
        <v>0</v>
      </c>
      <c r="AL95" s="91">
        <f t="shared" si="120"/>
        <v>184109</v>
      </c>
      <c r="AM95" s="91">
        <f t="shared" si="120"/>
        <v>0</v>
      </c>
      <c r="AN95" s="91">
        <f t="shared" si="120"/>
        <v>0</v>
      </c>
      <c r="AO95" s="91">
        <f t="shared" si="120"/>
        <v>0</v>
      </c>
      <c r="AP95" s="91">
        <f t="shared" si="120"/>
        <v>0</v>
      </c>
      <c r="AQ95" s="91">
        <f t="shared" si="120"/>
        <v>0</v>
      </c>
      <c r="AR95" s="91">
        <f t="shared" si="120"/>
        <v>184109</v>
      </c>
      <c r="AS95" s="91">
        <f t="shared" si="120"/>
        <v>0</v>
      </c>
      <c r="AT95" s="92">
        <f t="shared" si="120"/>
        <v>0</v>
      </c>
      <c r="AU95" s="92">
        <f t="shared" si="120"/>
        <v>0</v>
      </c>
      <c r="AV95" s="92">
        <f t="shared" si="120"/>
        <v>0</v>
      </c>
      <c r="AW95" s="92">
        <f t="shared" si="120"/>
        <v>184109</v>
      </c>
      <c r="AX95" s="92">
        <f t="shared" si="120"/>
        <v>0</v>
      </c>
      <c r="AY95" s="91">
        <f t="shared" si="120"/>
        <v>-6120</v>
      </c>
      <c r="AZ95" s="91">
        <f t="shared" si="120"/>
        <v>0</v>
      </c>
      <c r="BA95" s="91">
        <f t="shared" si="120"/>
        <v>0</v>
      </c>
      <c r="BB95" s="91">
        <f t="shared" si="120"/>
        <v>280</v>
      </c>
      <c r="BC95" s="91">
        <f t="shared" si="120"/>
        <v>0</v>
      </c>
      <c r="BD95" s="91">
        <f t="shared" si="120"/>
        <v>178269</v>
      </c>
      <c r="BE95" s="91">
        <f t="shared" si="120"/>
        <v>0</v>
      </c>
      <c r="BF95" s="91">
        <f t="shared" si="120"/>
        <v>0</v>
      </c>
      <c r="BG95" s="91">
        <f t="shared" si="120"/>
        <v>0</v>
      </c>
      <c r="BH95" s="91">
        <f t="shared" si="120"/>
        <v>0</v>
      </c>
      <c r="BI95" s="91">
        <f t="shared" si="120"/>
        <v>178269</v>
      </c>
      <c r="BJ95" s="91">
        <f t="shared" si="120"/>
        <v>0</v>
      </c>
      <c r="BK95" s="91">
        <f t="shared" si="120"/>
        <v>0</v>
      </c>
      <c r="BL95" s="91">
        <f t="shared" si="120"/>
        <v>0</v>
      </c>
      <c r="BM95" s="91">
        <f t="shared" si="120"/>
        <v>0</v>
      </c>
      <c r="BN95" s="91">
        <f t="shared" si="120"/>
        <v>0</v>
      </c>
      <c r="BO95" s="91">
        <f t="shared" si="120"/>
        <v>178269</v>
      </c>
      <c r="BP95" s="91">
        <f t="shared" si="120"/>
        <v>0</v>
      </c>
      <c r="BQ95" s="91">
        <f t="shared" si="120"/>
        <v>0</v>
      </c>
      <c r="BR95" s="91"/>
      <c r="BS95" s="91">
        <f t="shared" si="120"/>
        <v>-800</v>
      </c>
      <c r="BT95" s="91">
        <f t="shared" si="120"/>
        <v>0</v>
      </c>
      <c r="BU95" s="91">
        <f t="shared" si="120"/>
        <v>177469</v>
      </c>
      <c r="BV95" s="91">
        <f>BV96</f>
        <v>0</v>
      </c>
      <c r="BW95" s="91">
        <f t="shared" si="120"/>
        <v>177293</v>
      </c>
      <c r="BX95" s="91">
        <f>BX96</f>
        <v>0</v>
      </c>
      <c r="BY95" s="77">
        <f t="shared" si="105"/>
        <v>99.90082775019863</v>
      </c>
      <c r="BZ95" s="72"/>
    </row>
    <row r="96" spans="1:78" s="14" customFormat="1" ht="103.5" customHeight="1" hidden="1">
      <c r="A96" s="88" t="s">
        <v>158</v>
      </c>
      <c r="B96" s="89" t="s">
        <v>135</v>
      </c>
      <c r="C96" s="89" t="s">
        <v>155</v>
      </c>
      <c r="D96" s="90" t="s">
        <v>197</v>
      </c>
      <c r="E96" s="89" t="s">
        <v>145</v>
      </c>
      <c r="F96" s="75">
        <v>125119</v>
      </c>
      <c r="G96" s="75">
        <f>H96-F96</f>
        <v>78990</v>
      </c>
      <c r="H96" s="75">
        <v>204109</v>
      </c>
      <c r="I96" s="79"/>
      <c r="J96" s="79"/>
      <c r="K96" s="79"/>
      <c r="L96" s="79"/>
      <c r="M96" s="75">
        <f>H96+J96+K96+L96</f>
        <v>204109</v>
      </c>
      <c r="N96" s="78">
        <f>I96+L96</f>
        <v>0</v>
      </c>
      <c r="O96" s="79"/>
      <c r="P96" s="79"/>
      <c r="Q96" s="79"/>
      <c r="R96" s="79"/>
      <c r="S96" s="75">
        <f>M96+O96+P96+Q96+R96</f>
        <v>204109</v>
      </c>
      <c r="T96" s="75">
        <f>N96+R96</f>
        <v>0</v>
      </c>
      <c r="U96" s="79"/>
      <c r="V96" s="79"/>
      <c r="W96" s="79"/>
      <c r="X96" s="79"/>
      <c r="Y96" s="79"/>
      <c r="Z96" s="79"/>
      <c r="AA96" s="79"/>
      <c r="AB96" s="75">
        <f>S96+U96+V96+W96+X96+Y96+Z96+AA96</f>
        <v>204109</v>
      </c>
      <c r="AC96" s="80">
        <f>T96+Z96+AA96</f>
        <v>0</v>
      </c>
      <c r="AD96" s="80"/>
      <c r="AE96" s="80"/>
      <c r="AF96" s="75">
        <v>-20000</v>
      </c>
      <c r="AG96" s="80"/>
      <c r="AH96" s="80"/>
      <c r="AI96" s="75">
        <f>AB96+AD96+AE96+AF96+AG96+AH96</f>
        <v>184109</v>
      </c>
      <c r="AJ96" s="75">
        <f>AC96+AH96</f>
        <v>0</v>
      </c>
      <c r="AK96" s="79"/>
      <c r="AL96" s="75">
        <f>AI96+AK96</f>
        <v>184109</v>
      </c>
      <c r="AM96" s="75">
        <f>AJ96</f>
        <v>0</v>
      </c>
      <c r="AN96" s="79"/>
      <c r="AO96" s="79"/>
      <c r="AP96" s="79"/>
      <c r="AQ96" s="79"/>
      <c r="AR96" s="75">
        <f>AL96+AN96+AO96+AP96+AQ96</f>
        <v>184109</v>
      </c>
      <c r="AS96" s="75">
        <f>AM96+AQ96</f>
        <v>0</v>
      </c>
      <c r="AT96" s="81"/>
      <c r="AU96" s="81"/>
      <c r="AV96" s="81"/>
      <c r="AW96" s="76">
        <f>AV96+AU96+AT96+AR96</f>
        <v>184109</v>
      </c>
      <c r="AX96" s="76">
        <f>AV96+AS96</f>
        <v>0</v>
      </c>
      <c r="AY96" s="75">
        <v>-6120</v>
      </c>
      <c r="AZ96" s="75"/>
      <c r="BA96" s="75"/>
      <c r="BB96" s="75">
        <v>280</v>
      </c>
      <c r="BC96" s="75"/>
      <c r="BD96" s="75">
        <f>AW96+AY96+AZ96+BA96+BB96+BC96</f>
        <v>178269</v>
      </c>
      <c r="BE96" s="75">
        <f>AX96+BC96</f>
        <v>0</v>
      </c>
      <c r="BF96" s="79"/>
      <c r="BG96" s="79"/>
      <c r="BH96" s="79"/>
      <c r="BI96" s="75">
        <f>BD96+BF96+BG96+BH96</f>
        <v>178269</v>
      </c>
      <c r="BJ96" s="75">
        <f>BE96+BH96</f>
        <v>0</v>
      </c>
      <c r="BK96" s="78"/>
      <c r="BL96" s="78"/>
      <c r="BM96" s="78"/>
      <c r="BN96" s="78"/>
      <c r="BO96" s="75">
        <f>BI96+BK96+BL96+BM96+BN96</f>
        <v>178269</v>
      </c>
      <c r="BP96" s="75">
        <f>BJ96+BN96</f>
        <v>0</v>
      </c>
      <c r="BQ96" s="79"/>
      <c r="BR96" s="79"/>
      <c r="BS96" s="78">
        <f>-800</f>
        <v>-800</v>
      </c>
      <c r="BT96" s="79"/>
      <c r="BU96" s="75">
        <f>BO96+BQ96+BS96+BT96</f>
        <v>177469</v>
      </c>
      <c r="BV96" s="75">
        <f>BP96+BT96</f>
        <v>0</v>
      </c>
      <c r="BW96" s="75">
        <v>177293</v>
      </c>
      <c r="BX96" s="75">
        <f>BR96+BV96</f>
        <v>0</v>
      </c>
      <c r="BY96" s="77">
        <f t="shared" si="105"/>
        <v>99.90082775019863</v>
      </c>
      <c r="BZ96" s="72"/>
    </row>
    <row r="97" spans="1:78" s="14" customFormat="1" ht="97.5" customHeight="1" hidden="1">
      <c r="A97" s="126" t="s">
        <v>204</v>
      </c>
      <c r="B97" s="89" t="s">
        <v>135</v>
      </c>
      <c r="C97" s="89" t="s">
        <v>155</v>
      </c>
      <c r="D97" s="90" t="s">
        <v>198</v>
      </c>
      <c r="E97" s="89"/>
      <c r="F97" s="91">
        <f>F98</f>
        <v>10469</v>
      </c>
      <c r="G97" s="91">
        <f>G98</f>
        <v>60</v>
      </c>
      <c r="H97" s="91">
        <f>H98</f>
        <v>10529</v>
      </c>
      <c r="I97" s="91">
        <f aca="true" t="shared" si="121" ref="I97:BW97">I98</f>
        <v>0</v>
      </c>
      <c r="J97" s="91">
        <f t="shared" si="121"/>
        <v>0</v>
      </c>
      <c r="K97" s="91">
        <f t="shared" si="121"/>
        <v>0</v>
      </c>
      <c r="L97" s="91">
        <f t="shared" si="121"/>
        <v>0</v>
      </c>
      <c r="M97" s="91">
        <f t="shared" si="121"/>
        <v>10529</v>
      </c>
      <c r="N97" s="91">
        <f t="shared" si="121"/>
        <v>0</v>
      </c>
      <c r="O97" s="91">
        <f t="shared" si="121"/>
        <v>0</v>
      </c>
      <c r="P97" s="91"/>
      <c r="Q97" s="91">
        <f t="shared" si="121"/>
        <v>0</v>
      </c>
      <c r="R97" s="91">
        <f t="shared" si="121"/>
        <v>0</v>
      </c>
      <c r="S97" s="91">
        <f t="shared" si="121"/>
        <v>10529</v>
      </c>
      <c r="T97" s="91">
        <f t="shared" si="121"/>
        <v>0</v>
      </c>
      <c r="U97" s="91">
        <f t="shared" si="121"/>
        <v>0</v>
      </c>
      <c r="V97" s="91">
        <f t="shared" si="121"/>
        <v>0</v>
      </c>
      <c r="W97" s="91">
        <f t="shared" si="121"/>
        <v>0</v>
      </c>
      <c r="X97" s="91">
        <f t="shared" si="121"/>
        <v>0</v>
      </c>
      <c r="Y97" s="91">
        <f t="shared" si="121"/>
        <v>0</v>
      </c>
      <c r="Z97" s="91">
        <f t="shared" si="121"/>
        <v>0</v>
      </c>
      <c r="AA97" s="91">
        <f t="shared" si="121"/>
        <v>0</v>
      </c>
      <c r="AB97" s="91">
        <f t="shared" si="121"/>
        <v>10529</v>
      </c>
      <c r="AC97" s="91">
        <f t="shared" si="121"/>
        <v>0</v>
      </c>
      <c r="AD97" s="91">
        <f t="shared" si="121"/>
        <v>0</v>
      </c>
      <c r="AE97" s="91">
        <f t="shared" si="121"/>
        <v>0</v>
      </c>
      <c r="AF97" s="91">
        <f t="shared" si="121"/>
        <v>0</v>
      </c>
      <c r="AG97" s="91">
        <f t="shared" si="121"/>
        <v>0</v>
      </c>
      <c r="AH97" s="91">
        <f t="shared" si="121"/>
        <v>0</v>
      </c>
      <c r="AI97" s="91">
        <f t="shared" si="121"/>
        <v>10529</v>
      </c>
      <c r="AJ97" s="91">
        <f t="shared" si="121"/>
        <v>0</v>
      </c>
      <c r="AK97" s="91">
        <f t="shared" si="121"/>
        <v>0</v>
      </c>
      <c r="AL97" s="91">
        <f t="shared" si="121"/>
        <v>10529</v>
      </c>
      <c r="AM97" s="91">
        <f t="shared" si="121"/>
        <v>0</v>
      </c>
      <c r="AN97" s="91">
        <f t="shared" si="121"/>
        <v>0</v>
      </c>
      <c r="AO97" s="91">
        <f t="shared" si="121"/>
        <v>0</v>
      </c>
      <c r="AP97" s="91">
        <f t="shared" si="121"/>
        <v>0</v>
      </c>
      <c r="AQ97" s="91">
        <f t="shared" si="121"/>
        <v>0</v>
      </c>
      <c r="AR97" s="91">
        <f t="shared" si="121"/>
        <v>10529</v>
      </c>
      <c r="AS97" s="91">
        <f t="shared" si="121"/>
        <v>0</v>
      </c>
      <c r="AT97" s="92">
        <f t="shared" si="121"/>
        <v>0</v>
      </c>
      <c r="AU97" s="92">
        <f t="shared" si="121"/>
        <v>0</v>
      </c>
      <c r="AV97" s="92">
        <f t="shared" si="121"/>
        <v>0</v>
      </c>
      <c r="AW97" s="92">
        <f t="shared" si="121"/>
        <v>10529</v>
      </c>
      <c r="AX97" s="92">
        <f t="shared" si="121"/>
        <v>0</v>
      </c>
      <c r="AY97" s="91">
        <f t="shared" si="121"/>
        <v>0</v>
      </c>
      <c r="AZ97" s="91">
        <f t="shared" si="121"/>
        <v>0</v>
      </c>
      <c r="BA97" s="91">
        <f t="shared" si="121"/>
        <v>0</v>
      </c>
      <c r="BB97" s="91">
        <f t="shared" si="121"/>
        <v>0</v>
      </c>
      <c r="BC97" s="91">
        <f t="shared" si="121"/>
        <v>0</v>
      </c>
      <c r="BD97" s="91">
        <f t="shared" si="121"/>
        <v>10529</v>
      </c>
      <c r="BE97" s="91">
        <f t="shared" si="121"/>
        <v>0</v>
      </c>
      <c r="BF97" s="91">
        <f t="shared" si="121"/>
        <v>0</v>
      </c>
      <c r="BG97" s="91">
        <f t="shared" si="121"/>
        <v>0</v>
      </c>
      <c r="BH97" s="91">
        <f t="shared" si="121"/>
        <v>0</v>
      </c>
      <c r="BI97" s="91">
        <f t="shared" si="121"/>
        <v>10529</v>
      </c>
      <c r="BJ97" s="91">
        <f t="shared" si="121"/>
        <v>0</v>
      </c>
      <c r="BK97" s="91">
        <f t="shared" si="121"/>
        <v>0</v>
      </c>
      <c r="BL97" s="91">
        <f t="shared" si="121"/>
        <v>0</v>
      </c>
      <c r="BM97" s="91">
        <f t="shared" si="121"/>
        <v>0</v>
      </c>
      <c r="BN97" s="91">
        <f t="shared" si="121"/>
        <v>0</v>
      </c>
      <c r="BO97" s="91">
        <f t="shared" si="121"/>
        <v>10529</v>
      </c>
      <c r="BP97" s="91">
        <f t="shared" si="121"/>
        <v>0</v>
      </c>
      <c r="BQ97" s="91">
        <f t="shared" si="121"/>
        <v>0</v>
      </c>
      <c r="BR97" s="91"/>
      <c r="BS97" s="91">
        <f t="shared" si="121"/>
        <v>0</v>
      </c>
      <c r="BT97" s="91">
        <f t="shared" si="121"/>
        <v>0</v>
      </c>
      <c r="BU97" s="91">
        <f t="shared" si="121"/>
        <v>10529</v>
      </c>
      <c r="BV97" s="91">
        <f>BV98</f>
        <v>0</v>
      </c>
      <c r="BW97" s="91">
        <f t="shared" si="121"/>
        <v>10529</v>
      </c>
      <c r="BX97" s="91">
        <f>BX98</f>
        <v>0</v>
      </c>
      <c r="BY97" s="77">
        <f t="shared" si="105"/>
        <v>100</v>
      </c>
      <c r="BZ97" s="72"/>
    </row>
    <row r="98" spans="1:78" s="14" customFormat="1" ht="96.75" customHeight="1" hidden="1">
      <c r="A98" s="88" t="s">
        <v>359</v>
      </c>
      <c r="B98" s="89" t="s">
        <v>135</v>
      </c>
      <c r="C98" s="89" t="s">
        <v>155</v>
      </c>
      <c r="D98" s="90" t="s">
        <v>198</v>
      </c>
      <c r="E98" s="89" t="s">
        <v>145</v>
      </c>
      <c r="F98" s="75">
        <v>10469</v>
      </c>
      <c r="G98" s="75">
        <f>H98-F98</f>
        <v>60</v>
      </c>
      <c r="H98" s="75">
        <v>10529</v>
      </c>
      <c r="I98" s="79"/>
      <c r="J98" s="79"/>
      <c r="K98" s="79"/>
      <c r="L98" s="79"/>
      <c r="M98" s="75">
        <f>H98+J98+K98+L98</f>
        <v>10529</v>
      </c>
      <c r="N98" s="78">
        <f>I98+L98</f>
        <v>0</v>
      </c>
      <c r="O98" s="79"/>
      <c r="P98" s="79"/>
      <c r="Q98" s="79"/>
      <c r="R98" s="79"/>
      <c r="S98" s="75">
        <f>M98+O98+P98+Q98+R98</f>
        <v>10529</v>
      </c>
      <c r="T98" s="75">
        <f>N98+R98</f>
        <v>0</v>
      </c>
      <c r="U98" s="79"/>
      <c r="V98" s="79"/>
      <c r="W98" s="79"/>
      <c r="X98" s="79"/>
      <c r="Y98" s="79"/>
      <c r="Z98" s="79"/>
      <c r="AA98" s="79"/>
      <c r="AB98" s="75">
        <f>S98+U98+V98+W98+X98+Y98+Z98+AA98</f>
        <v>10529</v>
      </c>
      <c r="AC98" s="80">
        <f>T98+Z98+AA98</f>
        <v>0</v>
      </c>
      <c r="AD98" s="80"/>
      <c r="AE98" s="80"/>
      <c r="AF98" s="75"/>
      <c r="AG98" s="80"/>
      <c r="AH98" s="80"/>
      <c r="AI98" s="75">
        <f>AB98+AD98+AE98+AF98+AG98+AH98</f>
        <v>10529</v>
      </c>
      <c r="AJ98" s="75">
        <f>AC98+AH98</f>
        <v>0</v>
      </c>
      <c r="AK98" s="79"/>
      <c r="AL98" s="75">
        <f>AI98+AK98</f>
        <v>10529</v>
      </c>
      <c r="AM98" s="75">
        <f>AJ98</f>
        <v>0</v>
      </c>
      <c r="AN98" s="79"/>
      <c r="AO98" s="79"/>
      <c r="AP98" s="79"/>
      <c r="AQ98" s="79"/>
      <c r="AR98" s="75">
        <f>AL98+AN98+AO98+AP98+AQ98</f>
        <v>10529</v>
      </c>
      <c r="AS98" s="75">
        <f>AM98+AQ98</f>
        <v>0</v>
      </c>
      <c r="AT98" s="81"/>
      <c r="AU98" s="81"/>
      <c r="AV98" s="81"/>
      <c r="AW98" s="76">
        <f>AV98+AU98+AT98+AR98</f>
        <v>10529</v>
      </c>
      <c r="AX98" s="76">
        <f>AV98+AS98</f>
        <v>0</v>
      </c>
      <c r="AY98" s="75"/>
      <c r="AZ98" s="75"/>
      <c r="BA98" s="75"/>
      <c r="BB98" s="75"/>
      <c r="BC98" s="75"/>
      <c r="BD98" s="75">
        <f>AW98+AY98+AZ98+BA98+BB98+BC98</f>
        <v>10529</v>
      </c>
      <c r="BE98" s="75">
        <f>AX98+BC98</f>
        <v>0</v>
      </c>
      <c r="BF98" s="79"/>
      <c r="BG98" s="79"/>
      <c r="BH98" s="79"/>
      <c r="BI98" s="75">
        <f>BD98+BF98+BG98+BH98</f>
        <v>10529</v>
      </c>
      <c r="BJ98" s="75">
        <f>BE98+BH98</f>
        <v>0</v>
      </c>
      <c r="BK98" s="78"/>
      <c r="BL98" s="78"/>
      <c r="BM98" s="78"/>
      <c r="BN98" s="78"/>
      <c r="BO98" s="75">
        <f>BI98+BK98+BL98+BM98+BN98</f>
        <v>10529</v>
      </c>
      <c r="BP98" s="75">
        <f>BJ98+BN98</f>
        <v>0</v>
      </c>
      <c r="BQ98" s="79"/>
      <c r="BR98" s="79"/>
      <c r="BS98" s="79"/>
      <c r="BT98" s="79"/>
      <c r="BU98" s="75">
        <f>BO98+BQ98+BS98+BT98</f>
        <v>10529</v>
      </c>
      <c r="BV98" s="75">
        <f>BP98+BT98</f>
        <v>0</v>
      </c>
      <c r="BW98" s="75">
        <v>10529</v>
      </c>
      <c r="BX98" s="75">
        <f>BR98+BV98</f>
        <v>0</v>
      </c>
      <c r="BY98" s="77">
        <f t="shared" si="105"/>
        <v>100</v>
      </c>
      <c r="BZ98" s="72"/>
    </row>
    <row r="99" spans="1:78" s="14" customFormat="1" ht="36.75" customHeight="1" hidden="1">
      <c r="A99" s="88" t="s">
        <v>46</v>
      </c>
      <c r="B99" s="89" t="s">
        <v>135</v>
      </c>
      <c r="C99" s="89" t="s">
        <v>155</v>
      </c>
      <c r="D99" s="90" t="s">
        <v>47</v>
      </c>
      <c r="E99" s="89"/>
      <c r="F99" s="75"/>
      <c r="G99" s="75"/>
      <c r="H99" s="75"/>
      <c r="I99" s="79"/>
      <c r="J99" s="79"/>
      <c r="K99" s="79"/>
      <c r="L99" s="79"/>
      <c r="M99" s="75"/>
      <c r="N99" s="78"/>
      <c r="O99" s="79"/>
      <c r="P99" s="79"/>
      <c r="Q99" s="79"/>
      <c r="R99" s="79"/>
      <c r="S99" s="75"/>
      <c r="T99" s="75"/>
      <c r="U99" s="79"/>
      <c r="V99" s="79"/>
      <c r="W99" s="79"/>
      <c r="X99" s="79"/>
      <c r="Y99" s="79"/>
      <c r="Z99" s="79"/>
      <c r="AA99" s="79"/>
      <c r="AB99" s="75"/>
      <c r="AC99" s="80"/>
      <c r="AD99" s="80"/>
      <c r="AE99" s="80"/>
      <c r="AF99" s="75"/>
      <c r="AG99" s="80"/>
      <c r="AH99" s="80"/>
      <c r="AI99" s="75"/>
      <c r="AJ99" s="75"/>
      <c r="AK99" s="79"/>
      <c r="AL99" s="75"/>
      <c r="AM99" s="75"/>
      <c r="AN99" s="79"/>
      <c r="AO99" s="79"/>
      <c r="AP99" s="79"/>
      <c r="AQ99" s="79"/>
      <c r="AR99" s="75"/>
      <c r="AS99" s="75"/>
      <c r="AT99" s="81"/>
      <c r="AU99" s="81"/>
      <c r="AV99" s="81"/>
      <c r="AW99" s="76"/>
      <c r="AX99" s="76"/>
      <c r="AY99" s="75"/>
      <c r="AZ99" s="75"/>
      <c r="BA99" s="75"/>
      <c r="BB99" s="75"/>
      <c r="BC99" s="75"/>
      <c r="BD99" s="75"/>
      <c r="BE99" s="75"/>
      <c r="BF99" s="79"/>
      <c r="BG99" s="79"/>
      <c r="BH99" s="79"/>
      <c r="BI99" s="75"/>
      <c r="BJ99" s="75"/>
      <c r="BK99" s="78"/>
      <c r="BL99" s="78"/>
      <c r="BM99" s="75">
        <f aca="true" t="shared" si="122" ref="BM99:BX101">BM100</f>
        <v>24961</v>
      </c>
      <c r="BN99" s="75">
        <f t="shared" si="122"/>
        <v>23592</v>
      </c>
      <c r="BO99" s="75">
        <f t="shared" si="122"/>
        <v>48553</v>
      </c>
      <c r="BP99" s="75">
        <f t="shared" si="122"/>
        <v>23592</v>
      </c>
      <c r="BQ99" s="75">
        <f t="shared" si="122"/>
        <v>0</v>
      </c>
      <c r="BR99" s="75"/>
      <c r="BS99" s="75">
        <f t="shared" si="122"/>
        <v>0</v>
      </c>
      <c r="BT99" s="75">
        <f t="shared" si="122"/>
        <v>0</v>
      </c>
      <c r="BU99" s="75">
        <f t="shared" si="122"/>
        <v>48553</v>
      </c>
      <c r="BV99" s="75">
        <f t="shared" si="122"/>
        <v>23592</v>
      </c>
      <c r="BW99" s="75">
        <f t="shared" si="122"/>
        <v>41475</v>
      </c>
      <c r="BX99" s="75">
        <f t="shared" si="122"/>
        <v>16514</v>
      </c>
      <c r="BY99" s="77">
        <f t="shared" si="105"/>
        <v>85.42211603814388</v>
      </c>
      <c r="BZ99" s="77">
        <f>BX99/BV99*100</f>
        <v>69.9983045100034</v>
      </c>
    </row>
    <row r="100" spans="1:78" s="14" customFormat="1" ht="51.75" customHeight="1" hidden="1">
      <c r="A100" s="88" t="s">
        <v>376</v>
      </c>
      <c r="B100" s="89" t="s">
        <v>135</v>
      </c>
      <c r="C100" s="89" t="s">
        <v>155</v>
      </c>
      <c r="D100" s="90" t="s">
        <v>374</v>
      </c>
      <c r="E100" s="89"/>
      <c r="F100" s="75"/>
      <c r="G100" s="75"/>
      <c r="H100" s="75"/>
      <c r="I100" s="79"/>
      <c r="J100" s="79"/>
      <c r="K100" s="79"/>
      <c r="L100" s="79"/>
      <c r="M100" s="75"/>
      <c r="N100" s="78"/>
      <c r="O100" s="79"/>
      <c r="P100" s="79"/>
      <c r="Q100" s="79"/>
      <c r="R100" s="79"/>
      <c r="S100" s="75"/>
      <c r="T100" s="75"/>
      <c r="U100" s="79"/>
      <c r="V100" s="79"/>
      <c r="W100" s="79"/>
      <c r="X100" s="79"/>
      <c r="Y100" s="79"/>
      <c r="Z100" s="79"/>
      <c r="AA100" s="79"/>
      <c r="AB100" s="75"/>
      <c r="AC100" s="80"/>
      <c r="AD100" s="80"/>
      <c r="AE100" s="80"/>
      <c r="AF100" s="75"/>
      <c r="AG100" s="80"/>
      <c r="AH100" s="80"/>
      <c r="AI100" s="75"/>
      <c r="AJ100" s="75"/>
      <c r="AK100" s="79"/>
      <c r="AL100" s="75"/>
      <c r="AM100" s="75"/>
      <c r="AN100" s="79"/>
      <c r="AO100" s="79"/>
      <c r="AP100" s="79"/>
      <c r="AQ100" s="79"/>
      <c r="AR100" s="75"/>
      <c r="AS100" s="75"/>
      <c r="AT100" s="81"/>
      <c r="AU100" s="81"/>
      <c r="AV100" s="81"/>
      <c r="AW100" s="76"/>
      <c r="AX100" s="76"/>
      <c r="AY100" s="75"/>
      <c r="AZ100" s="75"/>
      <c r="BA100" s="75"/>
      <c r="BB100" s="75"/>
      <c r="BC100" s="75"/>
      <c r="BD100" s="75"/>
      <c r="BE100" s="75"/>
      <c r="BF100" s="79"/>
      <c r="BG100" s="79"/>
      <c r="BH100" s="79"/>
      <c r="BI100" s="75"/>
      <c r="BJ100" s="75"/>
      <c r="BK100" s="78"/>
      <c r="BL100" s="78"/>
      <c r="BM100" s="75">
        <f t="shared" si="122"/>
        <v>24961</v>
      </c>
      <c r="BN100" s="75">
        <f t="shared" si="122"/>
        <v>23592</v>
      </c>
      <c r="BO100" s="75">
        <f t="shared" si="122"/>
        <v>48553</v>
      </c>
      <c r="BP100" s="75">
        <f t="shared" si="122"/>
        <v>23592</v>
      </c>
      <c r="BQ100" s="75">
        <f t="shared" si="122"/>
        <v>0</v>
      </c>
      <c r="BR100" s="75"/>
      <c r="BS100" s="75">
        <f t="shared" si="122"/>
        <v>0</v>
      </c>
      <c r="BT100" s="75">
        <f t="shared" si="122"/>
        <v>0</v>
      </c>
      <c r="BU100" s="75">
        <f t="shared" si="122"/>
        <v>48553</v>
      </c>
      <c r="BV100" s="75">
        <f t="shared" si="122"/>
        <v>23592</v>
      </c>
      <c r="BW100" s="75">
        <f t="shared" si="122"/>
        <v>41475</v>
      </c>
      <c r="BX100" s="75">
        <f t="shared" si="122"/>
        <v>16514</v>
      </c>
      <c r="BY100" s="77">
        <f t="shared" si="105"/>
        <v>85.42211603814388</v>
      </c>
      <c r="BZ100" s="77">
        <f>BX100/BV100*100</f>
        <v>69.9983045100034</v>
      </c>
    </row>
    <row r="101" spans="1:78" s="14" customFormat="1" ht="36" customHeight="1" hidden="1">
      <c r="A101" s="88" t="s">
        <v>377</v>
      </c>
      <c r="B101" s="89" t="s">
        <v>135</v>
      </c>
      <c r="C101" s="89" t="s">
        <v>155</v>
      </c>
      <c r="D101" s="90" t="s">
        <v>375</v>
      </c>
      <c r="E101" s="89"/>
      <c r="F101" s="75"/>
      <c r="G101" s="75"/>
      <c r="H101" s="75"/>
      <c r="I101" s="79"/>
      <c r="J101" s="79"/>
      <c r="K101" s="79"/>
      <c r="L101" s="79"/>
      <c r="M101" s="75"/>
      <c r="N101" s="78"/>
      <c r="O101" s="79"/>
      <c r="P101" s="79"/>
      <c r="Q101" s="79"/>
      <c r="R101" s="79"/>
      <c r="S101" s="75"/>
      <c r="T101" s="75"/>
      <c r="U101" s="79"/>
      <c r="V101" s="79"/>
      <c r="W101" s="79"/>
      <c r="X101" s="79"/>
      <c r="Y101" s="79"/>
      <c r="Z101" s="79"/>
      <c r="AA101" s="79"/>
      <c r="AB101" s="75"/>
      <c r="AC101" s="80"/>
      <c r="AD101" s="80"/>
      <c r="AE101" s="80"/>
      <c r="AF101" s="75"/>
      <c r="AG101" s="80"/>
      <c r="AH101" s="80"/>
      <c r="AI101" s="75"/>
      <c r="AJ101" s="75"/>
      <c r="AK101" s="79"/>
      <c r="AL101" s="75"/>
      <c r="AM101" s="75"/>
      <c r="AN101" s="79"/>
      <c r="AO101" s="79"/>
      <c r="AP101" s="79"/>
      <c r="AQ101" s="79"/>
      <c r="AR101" s="75"/>
      <c r="AS101" s="75"/>
      <c r="AT101" s="81"/>
      <c r="AU101" s="81"/>
      <c r="AV101" s="81"/>
      <c r="AW101" s="76"/>
      <c r="AX101" s="76"/>
      <c r="AY101" s="75"/>
      <c r="AZ101" s="75"/>
      <c r="BA101" s="75"/>
      <c r="BB101" s="75"/>
      <c r="BC101" s="75"/>
      <c r="BD101" s="75"/>
      <c r="BE101" s="75"/>
      <c r="BF101" s="79"/>
      <c r="BG101" s="79"/>
      <c r="BH101" s="79"/>
      <c r="BI101" s="75"/>
      <c r="BJ101" s="75"/>
      <c r="BK101" s="78"/>
      <c r="BL101" s="78"/>
      <c r="BM101" s="75">
        <f t="shared" si="122"/>
        <v>24961</v>
      </c>
      <c r="BN101" s="75">
        <f t="shared" si="122"/>
        <v>23592</v>
      </c>
      <c r="BO101" s="75">
        <f t="shared" si="122"/>
        <v>48553</v>
      </c>
      <c r="BP101" s="75">
        <f t="shared" si="122"/>
        <v>23592</v>
      </c>
      <c r="BQ101" s="75">
        <f t="shared" si="122"/>
        <v>0</v>
      </c>
      <c r="BR101" s="75"/>
      <c r="BS101" s="75">
        <f t="shared" si="122"/>
        <v>0</v>
      </c>
      <c r="BT101" s="75">
        <f t="shared" si="122"/>
        <v>0</v>
      </c>
      <c r="BU101" s="75">
        <f t="shared" si="122"/>
        <v>48553</v>
      </c>
      <c r="BV101" s="75">
        <f t="shared" si="122"/>
        <v>23592</v>
      </c>
      <c r="BW101" s="75">
        <f t="shared" si="122"/>
        <v>41475</v>
      </c>
      <c r="BX101" s="75">
        <f t="shared" si="122"/>
        <v>16514</v>
      </c>
      <c r="BY101" s="77">
        <f t="shared" si="105"/>
        <v>85.42211603814388</v>
      </c>
      <c r="BZ101" s="77">
        <f>BX101/BV101*100</f>
        <v>69.9983045100034</v>
      </c>
    </row>
    <row r="102" spans="1:78" s="14" customFormat="1" ht="36" customHeight="1" hidden="1">
      <c r="A102" s="88" t="s">
        <v>258</v>
      </c>
      <c r="B102" s="89" t="s">
        <v>135</v>
      </c>
      <c r="C102" s="89" t="s">
        <v>155</v>
      </c>
      <c r="D102" s="90" t="s">
        <v>375</v>
      </c>
      <c r="E102" s="89" t="s">
        <v>257</v>
      </c>
      <c r="F102" s="75"/>
      <c r="G102" s="75"/>
      <c r="H102" s="75"/>
      <c r="I102" s="79"/>
      <c r="J102" s="79"/>
      <c r="K102" s="79"/>
      <c r="L102" s="79"/>
      <c r="M102" s="75"/>
      <c r="N102" s="78"/>
      <c r="O102" s="79"/>
      <c r="P102" s="79"/>
      <c r="Q102" s="79"/>
      <c r="R102" s="79"/>
      <c r="S102" s="75"/>
      <c r="T102" s="75"/>
      <c r="U102" s="79"/>
      <c r="V102" s="79"/>
      <c r="W102" s="79"/>
      <c r="X102" s="79"/>
      <c r="Y102" s="79"/>
      <c r="Z102" s="79"/>
      <c r="AA102" s="79"/>
      <c r="AB102" s="75"/>
      <c r="AC102" s="80"/>
      <c r="AD102" s="80"/>
      <c r="AE102" s="80"/>
      <c r="AF102" s="75"/>
      <c r="AG102" s="80"/>
      <c r="AH102" s="80"/>
      <c r="AI102" s="75"/>
      <c r="AJ102" s="75"/>
      <c r="AK102" s="79"/>
      <c r="AL102" s="75"/>
      <c r="AM102" s="75"/>
      <c r="AN102" s="79"/>
      <c r="AO102" s="79"/>
      <c r="AP102" s="79"/>
      <c r="AQ102" s="79"/>
      <c r="AR102" s="75"/>
      <c r="AS102" s="75"/>
      <c r="AT102" s="81"/>
      <c r="AU102" s="81"/>
      <c r="AV102" s="81"/>
      <c r="AW102" s="76"/>
      <c r="AX102" s="76"/>
      <c r="AY102" s="75"/>
      <c r="AZ102" s="75"/>
      <c r="BA102" s="75"/>
      <c r="BB102" s="75"/>
      <c r="BC102" s="75"/>
      <c r="BD102" s="75"/>
      <c r="BE102" s="75"/>
      <c r="BF102" s="79"/>
      <c r="BG102" s="79"/>
      <c r="BH102" s="79"/>
      <c r="BI102" s="75"/>
      <c r="BJ102" s="75"/>
      <c r="BK102" s="78"/>
      <c r="BL102" s="78"/>
      <c r="BM102" s="75">
        <v>24961</v>
      </c>
      <c r="BN102" s="75">
        <v>23592</v>
      </c>
      <c r="BO102" s="75">
        <f>BI102+BK102+BL102+BM102+BN102</f>
        <v>48553</v>
      </c>
      <c r="BP102" s="75">
        <f>BJ102+BN102</f>
        <v>23592</v>
      </c>
      <c r="BQ102" s="79"/>
      <c r="BR102" s="79"/>
      <c r="BS102" s="79"/>
      <c r="BT102" s="79"/>
      <c r="BU102" s="75">
        <f>BO102+BQ102+BS102+BT102</f>
        <v>48553</v>
      </c>
      <c r="BV102" s="75">
        <f>BP102+BT102</f>
        <v>23592</v>
      </c>
      <c r="BW102" s="75">
        <v>41475</v>
      </c>
      <c r="BX102" s="75">
        <v>16514</v>
      </c>
      <c r="BY102" s="77">
        <f t="shared" si="105"/>
        <v>85.42211603814388</v>
      </c>
      <c r="BZ102" s="77">
        <f>BX102/BV102*100</f>
        <v>69.9983045100034</v>
      </c>
    </row>
    <row r="103" spans="1:78" s="14" customFormat="1" ht="15.75" customHeight="1">
      <c r="A103" s="88"/>
      <c r="B103" s="89"/>
      <c r="C103" s="89"/>
      <c r="D103" s="90"/>
      <c r="E103" s="89"/>
      <c r="F103" s="80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5"/>
      <c r="T103" s="75"/>
      <c r="U103" s="79"/>
      <c r="V103" s="79"/>
      <c r="W103" s="79"/>
      <c r="X103" s="79"/>
      <c r="Y103" s="79"/>
      <c r="Z103" s="79"/>
      <c r="AA103" s="79"/>
      <c r="AB103" s="79"/>
      <c r="AC103" s="79"/>
      <c r="AD103" s="80"/>
      <c r="AE103" s="80"/>
      <c r="AF103" s="75"/>
      <c r="AG103" s="80"/>
      <c r="AH103" s="80"/>
      <c r="AI103" s="80"/>
      <c r="AJ103" s="80"/>
      <c r="AK103" s="79"/>
      <c r="AL103" s="79"/>
      <c r="AM103" s="79"/>
      <c r="AN103" s="79"/>
      <c r="AO103" s="79"/>
      <c r="AP103" s="79"/>
      <c r="AQ103" s="79"/>
      <c r="AR103" s="79"/>
      <c r="AS103" s="79"/>
      <c r="AT103" s="81"/>
      <c r="AU103" s="81"/>
      <c r="AV103" s="81"/>
      <c r="AW103" s="81"/>
      <c r="AX103" s="81"/>
      <c r="AY103" s="75"/>
      <c r="AZ103" s="75"/>
      <c r="BA103" s="75"/>
      <c r="BB103" s="75"/>
      <c r="BC103" s="75"/>
      <c r="BD103" s="78"/>
      <c r="BE103" s="78"/>
      <c r="BF103" s="79"/>
      <c r="BG103" s="79"/>
      <c r="BH103" s="79"/>
      <c r="BI103" s="79"/>
      <c r="BJ103" s="79"/>
      <c r="BK103" s="78"/>
      <c r="BL103" s="78"/>
      <c r="BM103" s="78"/>
      <c r="BN103" s="78"/>
      <c r="BO103" s="78"/>
      <c r="BP103" s="78"/>
      <c r="BQ103" s="79"/>
      <c r="BR103" s="79"/>
      <c r="BS103" s="79"/>
      <c r="BT103" s="79"/>
      <c r="BU103" s="79"/>
      <c r="BV103" s="79"/>
      <c r="BW103" s="79"/>
      <c r="BX103" s="79"/>
      <c r="BY103" s="72"/>
      <c r="BZ103" s="72"/>
    </row>
    <row r="104" spans="1:78" s="14" customFormat="1" ht="18.75" customHeight="1">
      <c r="A104" s="66" t="s">
        <v>154</v>
      </c>
      <c r="B104" s="67" t="s">
        <v>135</v>
      </c>
      <c r="C104" s="67" t="s">
        <v>148</v>
      </c>
      <c r="D104" s="85"/>
      <c r="E104" s="67"/>
      <c r="F104" s="86">
        <f aca="true" t="shared" si="123" ref="F104:M104">F105+F107</f>
        <v>70456</v>
      </c>
      <c r="G104" s="86">
        <f t="shared" si="123"/>
        <v>-26802</v>
      </c>
      <c r="H104" s="86">
        <f t="shared" si="123"/>
        <v>43654</v>
      </c>
      <c r="I104" s="86">
        <f t="shared" si="123"/>
        <v>0</v>
      </c>
      <c r="J104" s="86">
        <f t="shared" si="123"/>
        <v>0</v>
      </c>
      <c r="K104" s="86">
        <f t="shared" si="123"/>
        <v>0</v>
      </c>
      <c r="L104" s="86">
        <f t="shared" si="123"/>
        <v>0</v>
      </c>
      <c r="M104" s="86">
        <f t="shared" si="123"/>
        <v>43654</v>
      </c>
      <c r="N104" s="86">
        <f aca="true" t="shared" si="124" ref="N104:AB104">N105+N107</f>
        <v>0</v>
      </c>
      <c r="O104" s="86">
        <f t="shared" si="124"/>
        <v>0</v>
      </c>
      <c r="P104" s="86"/>
      <c r="Q104" s="86">
        <f t="shared" si="124"/>
        <v>0</v>
      </c>
      <c r="R104" s="86">
        <f t="shared" si="124"/>
        <v>0</v>
      </c>
      <c r="S104" s="86">
        <f t="shared" si="124"/>
        <v>43654</v>
      </c>
      <c r="T104" s="86">
        <f t="shared" si="124"/>
        <v>0</v>
      </c>
      <c r="U104" s="86">
        <f t="shared" si="124"/>
        <v>0</v>
      </c>
      <c r="V104" s="86">
        <f t="shared" si="124"/>
        <v>0</v>
      </c>
      <c r="W104" s="86">
        <f t="shared" si="124"/>
        <v>0</v>
      </c>
      <c r="X104" s="86">
        <f t="shared" si="124"/>
        <v>0</v>
      </c>
      <c r="Y104" s="86">
        <f t="shared" si="124"/>
        <v>0</v>
      </c>
      <c r="Z104" s="86">
        <f t="shared" si="124"/>
        <v>0</v>
      </c>
      <c r="AA104" s="86">
        <f t="shared" si="124"/>
        <v>0</v>
      </c>
      <c r="AB104" s="86">
        <f t="shared" si="124"/>
        <v>43654</v>
      </c>
      <c r="AC104" s="86">
        <f aca="true" t="shared" si="125" ref="AC104:AI104">AC105+AC107</f>
        <v>0</v>
      </c>
      <c r="AD104" s="86">
        <f t="shared" si="125"/>
        <v>0</v>
      </c>
      <c r="AE104" s="86">
        <f t="shared" si="125"/>
        <v>0</v>
      </c>
      <c r="AF104" s="86">
        <f t="shared" si="125"/>
        <v>-5701</v>
      </c>
      <c r="AG104" s="86">
        <f t="shared" si="125"/>
        <v>0</v>
      </c>
      <c r="AH104" s="86">
        <f t="shared" si="125"/>
        <v>0</v>
      </c>
      <c r="AI104" s="86">
        <f t="shared" si="125"/>
        <v>37953</v>
      </c>
      <c r="AJ104" s="86">
        <f>AJ105+AJ107</f>
        <v>0</v>
      </c>
      <c r="AK104" s="86">
        <f>AK105+AK107</f>
        <v>0</v>
      </c>
      <c r="AL104" s="86">
        <f>AL105+AL107</f>
        <v>37953</v>
      </c>
      <c r="AM104" s="86">
        <f aca="true" t="shared" si="126" ref="AM104:AS104">AM105+AM107</f>
        <v>0</v>
      </c>
      <c r="AN104" s="86">
        <f t="shared" si="126"/>
        <v>2293</v>
      </c>
      <c r="AO104" s="86">
        <f>AO105+AO107</f>
        <v>0</v>
      </c>
      <c r="AP104" s="86">
        <f t="shared" si="126"/>
        <v>0</v>
      </c>
      <c r="AQ104" s="86">
        <f t="shared" si="126"/>
        <v>0</v>
      </c>
      <c r="AR104" s="86">
        <f t="shared" si="126"/>
        <v>40246</v>
      </c>
      <c r="AS104" s="86">
        <f t="shared" si="126"/>
        <v>0</v>
      </c>
      <c r="AT104" s="87">
        <f>AT105+AT107</f>
        <v>0</v>
      </c>
      <c r="AU104" s="87">
        <f>AU105+AU107</f>
        <v>0</v>
      </c>
      <c r="AV104" s="87">
        <f>AV105+AV107</f>
        <v>0</v>
      </c>
      <c r="AW104" s="87">
        <f>AW105+AW107</f>
        <v>40246</v>
      </c>
      <c r="AX104" s="87">
        <f aca="true" t="shared" si="127" ref="AX104:BD104">AX105+AX107</f>
        <v>0</v>
      </c>
      <c r="AY104" s="86">
        <f t="shared" si="127"/>
        <v>-385</v>
      </c>
      <c r="AZ104" s="86">
        <f>AZ105+AZ107</f>
        <v>0</v>
      </c>
      <c r="BA104" s="86">
        <f>BA105+BA107</f>
        <v>0</v>
      </c>
      <c r="BB104" s="86">
        <f>BB105+BB107</f>
        <v>0</v>
      </c>
      <c r="BC104" s="86">
        <f t="shared" si="127"/>
        <v>0</v>
      </c>
      <c r="BD104" s="86">
        <f t="shared" si="127"/>
        <v>39861</v>
      </c>
      <c r="BE104" s="86">
        <f>BE105+BE107</f>
        <v>0</v>
      </c>
      <c r="BF104" s="86">
        <f>BF105+BF107</f>
        <v>0</v>
      </c>
      <c r="BG104" s="86">
        <f>BG105+BG107</f>
        <v>0</v>
      </c>
      <c r="BH104" s="86">
        <f>BH105+BH107</f>
        <v>0</v>
      </c>
      <c r="BI104" s="86">
        <f>BI105+BI107</f>
        <v>39861</v>
      </c>
      <c r="BJ104" s="86">
        <f aca="true" t="shared" si="128" ref="BJ104:BP104">BJ105+BJ107</f>
        <v>0</v>
      </c>
      <c r="BK104" s="86">
        <f t="shared" si="128"/>
        <v>0</v>
      </c>
      <c r="BL104" s="86">
        <f t="shared" si="128"/>
        <v>0</v>
      </c>
      <c r="BM104" s="86">
        <f t="shared" si="128"/>
        <v>0</v>
      </c>
      <c r="BN104" s="86">
        <f t="shared" si="128"/>
        <v>0</v>
      </c>
      <c r="BO104" s="86">
        <f t="shared" si="128"/>
        <v>39861</v>
      </c>
      <c r="BP104" s="86">
        <f t="shared" si="128"/>
        <v>0</v>
      </c>
      <c r="BQ104" s="86">
        <f>BQ105+BQ107</f>
        <v>0</v>
      </c>
      <c r="BR104" s="86"/>
      <c r="BS104" s="86">
        <f aca="true" t="shared" si="129" ref="BS104:BX104">BS105+BS107</f>
        <v>0</v>
      </c>
      <c r="BT104" s="86">
        <f t="shared" si="129"/>
        <v>0</v>
      </c>
      <c r="BU104" s="86">
        <f t="shared" si="129"/>
        <v>39861</v>
      </c>
      <c r="BV104" s="86">
        <f t="shared" si="129"/>
        <v>0</v>
      </c>
      <c r="BW104" s="86">
        <f t="shared" si="129"/>
        <v>8844</v>
      </c>
      <c r="BX104" s="86">
        <f t="shared" si="129"/>
        <v>0</v>
      </c>
      <c r="BY104" s="71">
        <f aca="true" t="shared" si="130" ref="BY104:BY114">BW104/BU104*100</f>
        <v>22.18710017310153</v>
      </c>
      <c r="BZ104" s="72"/>
    </row>
    <row r="105" spans="1:78" ht="54" customHeight="1" hidden="1">
      <c r="A105" s="88" t="s">
        <v>152</v>
      </c>
      <c r="B105" s="89" t="s">
        <v>135</v>
      </c>
      <c r="C105" s="89" t="s">
        <v>148</v>
      </c>
      <c r="D105" s="90" t="s">
        <v>39</v>
      </c>
      <c r="E105" s="89"/>
      <c r="F105" s="91">
        <f>F106</f>
        <v>70456</v>
      </c>
      <c r="G105" s="91">
        <f>G106</f>
        <v>-36664</v>
      </c>
      <c r="H105" s="91">
        <f>H106</f>
        <v>33792</v>
      </c>
      <c r="I105" s="91">
        <f aca="true" t="shared" si="131" ref="I105:BW105">I106</f>
        <v>0</v>
      </c>
      <c r="J105" s="91">
        <f t="shared" si="131"/>
        <v>0</v>
      </c>
      <c r="K105" s="91">
        <f t="shared" si="131"/>
        <v>0</v>
      </c>
      <c r="L105" s="91">
        <f t="shared" si="131"/>
        <v>0</v>
      </c>
      <c r="M105" s="91">
        <f t="shared" si="131"/>
        <v>33792</v>
      </c>
      <c r="N105" s="91">
        <f t="shared" si="131"/>
        <v>0</v>
      </c>
      <c r="O105" s="91">
        <f t="shared" si="131"/>
        <v>0</v>
      </c>
      <c r="P105" s="91"/>
      <c r="Q105" s="91">
        <f t="shared" si="131"/>
        <v>0</v>
      </c>
      <c r="R105" s="91">
        <f t="shared" si="131"/>
        <v>0</v>
      </c>
      <c r="S105" s="91">
        <f t="shared" si="131"/>
        <v>33792</v>
      </c>
      <c r="T105" s="91">
        <f t="shared" si="131"/>
        <v>0</v>
      </c>
      <c r="U105" s="91">
        <f t="shared" si="131"/>
        <v>0</v>
      </c>
      <c r="V105" s="91">
        <f t="shared" si="131"/>
        <v>0</v>
      </c>
      <c r="W105" s="91">
        <f t="shared" si="131"/>
        <v>0</v>
      </c>
      <c r="X105" s="91">
        <f t="shared" si="131"/>
        <v>0</v>
      </c>
      <c r="Y105" s="91">
        <f t="shared" si="131"/>
        <v>0</v>
      </c>
      <c r="Z105" s="91">
        <f t="shared" si="131"/>
        <v>0</v>
      </c>
      <c r="AA105" s="91">
        <f t="shared" si="131"/>
        <v>0</v>
      </c>
      <c r="AB105" s="91">
        <f t="shared" si="131"/>
        <v>33792</v>
      </c>
      <c r="AC105" s="91">
        <f t="shared" si="131"/>
        <v>0</v>
      </c>
      <c r="AD105" s="91">
        <f t="shared" si="131"/>
        <v>0</v>
      </c>
      <c r="AE105" s="91">
        <f t="shared" si="131"/>
        <v>0</v>
      </c>
      <c r="AF105" s="91">
        <f t="shared" si="131"/>
        <v>-3451</v>
      </c>
      <c r="AG105" s="91">
        <f t="shared" si="131"/>
        <v>0</v>
      </c>
      <c r="AH105" s="91">
        <f t="shared" si="131"/>
        <v>0</v>
      </c>
      <c r="AI105" s="91">
        <f t="shared" si="131"/>
        <v>30341</v>
      </c>
      <c r="AJ105" s="91">
        <f t="shared" si="131"/>
        <v>0</v>
      </c>
      <c r="AK105" s="91">
        <f t="shared" si="131"/>
        <v>0</v>
      </c>
      <c r="AL105" s="91">
        <f t="shared" si="131"/>
        <v>30341</v>
      </c>
      <c r="AM105" s="91">
        <f t="shared" si="131"/>
        <v>0</v>
      </c>
      <c r="AN105" s="91">
        <f t="shared" si="131"/>
        <v>43</v>
      </c>
      <c r="AO105" s="91">
        <f t="shared" si="131"/>
        <v>0</v>
      </c>
      <c r="AP105" s="91">
        <f t="shared" si="131"/>
        <v>0</v>
      </c>
      <c r="AQ105" s="91">
        <f t="shared" si="131"/>
        <v>0</v>
      </c>
      <c r="AR105" s="91">
        <f t="shared" si="131"/>
        <v>30384</v>
      </c>
      <c r="AS105" s="91">
        <f t="shared" si="131"/>
        <v>0</v>
      </c>
      <c r="AT105" s="92">
        <f t="shared" si="131"/>
        <v>-30341</v>
      </c>
      <c r="AU105" s="92">
        <f t="shared" si="131"/>
        <v>0</v>
      </c>
      <c r="AV105" s="92">
        <f t="shared" si="131"/>
        <v>0</v>
      </c>
      <c r="AW105" s="92">
        <f t="shared" si="131"/>
        <v>43</v>
      </c>
      <c r="AX105" s="92">
        <f t="shared" si="131"/>
        <v>0</v>
      </c>
      <c r="AY105" s="91">
        <f t="shared" si="131"/>
        <v>0</v>
      </c>
      <c r="AZ105" s="91">
        <f t="shared" si="131"/>
        <v>0</v>
      </c>
      <c r="BA105" s="91">
        <f t="shared" si="131"/>
        <v>0</v>
      </c>
      <c r="BB105" s="91">
        <f t="shared" si="131"/>
        <v>0</v>
      </c>
      <c r="BC105" s="91">
        <f t="shared" si="131"/>
        <v>0</v>
      </c>
      <c r="BD105" s="91">
        <f t="shared" si="131"/>
        <v>43</v>
      </c>
      <c r="BE105" s="91">
        <f t="shared" si="131"/>
        <v>0</v>
      </c>
      <c r="BF105" s="91">
        <f t="shared" si="131"/>
        <v>0</v>
      </c>
      <c r="BG105" s="91">
        <f t="shared" si="131"/>
        <v>0</v>
      </c>
      <c r="BH105" s="91">
        <f t="shared" si="131"/>
        <v>0</v>
      </c>
      <c r="BI105" s="91">
        <f t="shared" si="131"/>
        <v>43</v>
      </c>
      <c r="BJ105" s="91">
        <f t="shared" si="131"/>
        <v>0</v>
      </c>
      <c r="BK105" s="91">
        <f t="shared" si="131"/>
        <v>0</v>
      </c>
      <c r="BL105" s="91">
        <f t="shared" si="131"/>
        <v>0</v>
      </c>
      <c r="BM105" s="91">
        <f t="shared" si="131"/>
        <v>0</v>
      </c>
      <c r="BN105" s="91">
        <f t="shared" si="131"/>
        <v>0</v>
      </c>
      <c r="BO105" s="91">
        <f t="shared" si="131"/>
        <v>43</v>
      </c>
      <c r="BP105" s="91">
        <f t="shared" si="131"/>
        <v>0</v>
      </c>
      <c r="BQ105" s="91">
        <f t="shared" si="131"/>
        <v>0</v>
      </c>
      <c r="BR105" s="91"/>
      <c r="BS105" s="91">
        <f t="shared" si="131"/>
        <v>0</v>
      </c>
      <c r="BT105" s="91">
        <f t="shared" si="131"/>
        <v>0</v>
      </c>
      <c r="BU105" s="91">
        <f t="shared" si="131"/>
        <v>43</v>
      </c>
      <c r="BV105" s="91">
        <f>BV106</f>
        <v>0</v>
      </c>
      <c r="BW105" s="91">
        <f t="shared" si="131"/>
        <v>0</v>
      </c>
      <c r="BX105" s="91">
        <f>BX106</f>
        <v>0</v>
      </c>
      <c r="BY105" s="77">
        <f t="shared" si="130"/>
        <v>0</v>
      </c>
      <c r="BZ105" s="72"/>
    </row>
    <row r="106" spans="1:78" s="12" customFormat="1" ht="104.25" customHeight="1" hidden="1">
      <c r="A106" s="88" t="s">
        <v>360</v>
      </c>
      <c r="B106" s="89" t="s">
        <v>135</v>
      </c>
      <c r="C106" s="89" t="s">
        <v>148</v>
      </c>
      <c r="D106" s="90" t="s">
        <v>39</v>
      </c>
      <c r="E106" s="89" t="s">
        <v>153</v>
      </c>
      <c r="F106" s="75">
        <v>70456</v>
      </c>
      <c r="G106" s="75">
        <f>H106-F106</f>
        <v>-36664</v>
      </c>
      <c r="H106" s="75">
        <f>43654-9862</f>
        <v>33792</v>
      </c>
      <c r="I106" s="69"/>
      <c r="J106" s="69"/>
      <c r="K106" s="69"/>
      <c r="L106" s="69"/>
      <c r="M106" s="75">
        <f>H106+J106+K106+L106</f>
        <v>33792</v>
      </c>
      <c r="N106" s="78">
        <f>I106+L106</f>
        <v>0</v>
      </c>
      <c r="O106" s="69"/>
      <c r="P106" s="69"/>
      <c r="Q106" s="106"/>
      <c r="R106" s="106"/>
      <c r="S106" s="75">
        <f>M106+O106+P106+Q106+R106</f>
        <v>33792</v>
      </c>
      <c r="T106" s="75">
        <f>N106+R106</f>
        <v>0</v>
      </c>
      <c r="U106" s="106"/>
      <c r="V106" s="106"/>
      <c r="W106" s="106"/>
      <c r="X106" s="106"/>
      <c r="Y106" s="106"/>
      <c r="Z106" s="106"/>
      <c r="AA106" s="106"/>
      <c r="AB106" s="75">
        <f>S106+U106+V106+W106+X106+Y106+Z106+AA106</f>
        <v>33792</v>
      </c>
      <c r="AC106" s="80">
        <f>T106+Z106+AA106</f>
        <v>0</v>
      </c>
      <c r="AD106" s="107"/>
      <c r="AE106" s="107"/>
      <c r="AF106" s="75">
        <v>-3451</v>
      </c>
      <c r="AG106" s="107"/>
      <c r="AH106" s="107"/>
      <c r="AI106" s="75">
        <f>AB106+AD106+AE106+AF106+AG106+AH106</f>
        <v>30341</v>
      </c>
      <c r="AJ106" s="75">
        <f>AC106+AH106</f>
        <v>0</v>
      </c>
      <c r="AK106" s="106"/>
      <c r="AL106" s="75">
        <f>AI106+AK106</f>
        <v>30341</v>
      </c>
      <c r="AM106" s="75">
        <f>AJ106</f>
        <v>0</v>
      </c>
      <c r="AN106" s="78">
        <v>43</v>
      </c>
      <c r="AO106" s="78"/>
      <c r="AP106" s="106"/>
      <c r="AQ106" s="106"/>
      <c r="AR106" s="75">
        <f>AL106+AN106+AO106+AP106+AQ106</f>
        <v>30384</v>
      </c>
      <c r="AS106" s="75">
        <f>AM106+AQ106</f>
        <v>0</v>
      </c>
      <c r="AT106" s="81">
        <v>-30341</v>
      </c>
      <c r="AU106" s="81"/>
      <c r="AV106" s="81"/>
      <c r="AW106" s="76">
        <f>AV106+AU106+AT106+AR106</f>
        <v>43</v>
      </c>
      <c r="AX106" s="76">
        <f>AV106+AS106</f>
        <v>0</v>
      </c>
      <c r="AY106" s="69"/>
      <c r="AZ106" s="69"/>
      <c r="BA106" s="69"/>
      <c r="BB106" s="69"/>
      <c r="BC106" s="69"/>
      <c r="BD106" s="75">
        <f>AW106+AY106+AZ106+BA106+BB106+BC106</f>
        <v>43</v>
      </c>
      <c r="BE106" s="75">
        <f>AX106+BC106</f>
        <v>0</v>
      </c>
      <c r="BF106" s="106"/>
      <c r="BG106" s="106"/>
      <c r="BH106" s="106"/>
      <c r="BI106" s="75">
        <f>BD106+BF106+BG106+BH106</f>
        <v>43</v>
      </c>
      <c r="BJ106" s="75">
        <f>BE106+BH106</f>
        <v>0</v>
      </c>
      <c r="BK106" s="109"/>
      <c r="BL106" s="109"/>
      <c r="BM106" s="109"/>
      <c r="BN106" s="109"/>
      <c r="BO106" s="75">
        <f>BI106+BK106+BL106+BM106+BN106</f>
        <v>43</v>
      </c>
      <c r="BP106" s="75">
        <f>BJ106+BN106</f>
        <v>0</v>
      </c>
      <c r="BQ106" s="106"/>
      <c r="BR106" s="106"/>
      <c r="BS106" s="106"/>
      <c r="BT106" s="106"/>
      <c r="BU106" s="75">
        <f>BO106+BQ106+BS106+BT106</f>
        <v>43</v>
      </c>
      <c r="BV106" s="75">
        <f>BP106+BT106</f>
        <v>0</v>
      </c>
      <c r="BW106" s="75"/>
      <c r="BX106" s="75">
        <f>BR106+BV106</f>
        <v>0</v>
      </c>
      <c r="BY106" s="77">
        <f t="shared" si="130"/>
        <v>0</v>
      </c>
      <c r="BZ106" s="72"/>
    </row>
    <row r="107" spans="1:78" s="12" customFormat="1" ht="42" customHeight="1" hidden="1">
      <c r="A107" s="88" t="s">
        <v>121</v>
      </c>
      <c r="B107" s="89" t="s">
        <v>135</v>
      </c>
      <c r="C107" s="89" t="s">
        <v>148</v>
      </c>
      <c r="D107" s="90" t="s">
        <v>122</v>
      </c>
      <c r="E107" s="89"/>
      <c r="F107" s="75">
        <f>F108</f>
        <v>0</v>
      </c>
      <c r="G107" s="75">
        <f>G108</f>
        <v>9862</v>
      </c>
      <c r="H107" s="75">
        <f>H108</f>
        <v>9862</v>
      </c>
      <c r="I107" s="75">
        <f aca="true" t="shared" si="132" ref="I107:AS107">I108</f>
        <v>0</v>
      </c>
      <c r="J107" s="75">
        <f t="shared" si="132"/>
        <v>0</v>
      </c>
      <c r="K107" s="75">
        <f t="shared" si="132"/>
        <v>0</v>
      </c>
      <c r="L107" s="75">
        <f t="shared" si="132"/>
        <v>0</v>
      </c>
      <c r="M107" s="75">
        <f t="shared" si="132"/>
        <v>9862</v>
      </c>
      <c r="N107" s="75">
        <f t="shared" si="132"/>
        <v>0</v>
      </c>
      <c r="O107" s="75">
        <f t="shared" si="132"/>
        <v>0</v>
      </c>
      <c r="P107" s="75"/>
      <c r="Q107" s="75">
        <f t="shared" si="132"/>
        <v>0</v>
      </c>
      <c r="R107" s="75">
        <f t="shared" si="132"/>
        <v>0</v>
      </c>
      <c r="S107" s="75">
        <f t="shared" si="132"/>
        <v>9862</v>
      </c>
      <c r="T107" s="75">
        <f t="shared" si="132"/>
        <v>0</v>
      </c>
      <c r="U107" s="75">
        <f t="shared" si="132"/>
        <v>0</v>
      </c>
      <c r="V107" s="75">
        <f t="shared" si="132"/>
        <v>0</v>
      </c>
      <c r="W107" s="75">
        <f t="shared" si="132"/>
        <v>0</v>
      </c>
      <c r="X107" s="75">
        <f t="shared" si="132"/>
        <v>0</v>
      </c>
      <c r="Y107" s="75">
        <f t="shared" si="132"/>
        <v>0</v>
      </c>
      <c r="Z107" s="75">
        <f t="shared" si="132"/>
        <v>0</v>
      </c>
      <c r="AA107" s="75">
        <f t="shared" si="132"/>
        <v>0</v>
      </c>
      <c r="AB107" s="75">
        <f t="shared" si="132"/>
        <v>9862</v>
      </c>
      <c r="AC107" s="75">
        <f t="shared" si="132"/>
        <v>0</v>
      </c>
      <c r="AD107" s="75">
        <f t="shared" si="132"/>
        <v>0</v>
      </c>
      <c r="AE107" s="75">
        <f t="shared" si="132"/>
        <v>0</v>
      </c>
      <c r="AF107" s="75">
        <f t="shared" si="132"/>
        <v>-2250</v>
      </c>
      <c r="AG107" s="75">
        <f t="shared" si="132"/>
        <v>0</v>
      </c>
      <c r="AH107" s="75">
        <f t="shared" si="132"/>
        <v>0</v>
      </c>
      <c r="AI107" s="75">
        <f t="shared" si="132"/>
        <v>7612</v>
      </c>
      <c r="AJ107" s="75">
        <f t="shared" si="132"/>
        <v>0</v>
      </c>
      <c r="AK107" s="75">
        <f t="shared" si="132"/>
        <v>0</v>
      </c>
      <c r="AL107" s="75">
        <f t="shared" si="132"/>
        <v>7612</v>
      </c>
      <c r="AM107" s="75">
        <f t="shared" si="132"/>
        <v>0</v>
      </c>
      <c r="AN107" s="75">
        <f t="shared" si="132"/>
        <v>2250</v>
      </c>
      <c r="AO107" s="75">
        <f t="shared" si="132"/>
        <v>0</v>
      </c>
      <c r="AP107" s="75">
        <f t="shared" si="132"/>
        <v>0</v>
      </c>
      <c r="AQ107" s="75">
        <f t="shared" si="132"/>
        <v>0</v>
      </c>
      <c r="AR107" s="75">
        <f t="shared" si="132"/>
        <v>9862</v>
      </c>
      <c r="AS107" s="75">
        <f t="shared" si="132"/>
        <v>0</v>
      </c>
      <c r="AT107" s="76">
        <f aca="true" t="shared" si="133" ref="AT107:BV107">AT108+AT109</f>
        <v>30341</v>
      </c>
      <c r="AU107" s="76">
        <f t="shared" si="133"/>
        <v>0</v>
      </c>
      <c r="AV107" s="76">
        <f t="shared" si="133"/>
        <v>0</v>
      </c>
      <c r="AW107" s="76">
        <f t="shared" si="133"/>
        <v>40203</v>
      </c>
      <c r="AX107" s="76">
        <f t="shared" si="133"/>
        <v>0</v>
      </c>
      <c r="AY107" s="75">
        <f t="shared" si="133"/>
        <v>-385</v>
      </c>
      <c r="AZ107" s="75">
        <f t="shared" si="133"/>
        <v>0</v>
      </c>
      <c r="BA107" s="75">
        <f t="shared" si="133"/>
        <v>0</v>
      </c>
      <c r="BB107" s="75">
        <f t="shared" si="133"/>
        <v>0</v>
      </c>
      <c r="BC107" s="75">
        <f t="shared" si="133"/>
        <v>0</v>
      </c>
      <c r="BD107" s="75">
        <f t="shared" si="133"/>
        <v>39818</v>
      </c>
      <c r="BE107" s="75">
        <f t="shared" si="133"/>
        <v>0</v>
      </c>
      <c r="BF107" s="75">
        <f t="shared" si="133"/>
        <v>0</v>
      </c>
      <c r="BG107" s="75">
        <f t="shared" si="133"/>
        <v>0</v>
      </c>
      <c r="BH107" s="75">
        <f t="shared" si="133"/>
        <v>0</v>
      </c>
      <c r="BI107" s="75">
        <f t="shared" si="133"/>
        <v>39818</v>
      </c>
      <c r="BJ107" s="75">
        <f t="shared" si="133"/>
        <v>0</v>
      </c>
      <c r="BK107" s="75">
        <f t="shared" si="133"/>
        <v>0</v>
      </c>
      <c r="BL107" s="75">
        <f t="shared" si="133"/>
        <v>0</v>
      </c>
      <c r="BM107" s="75">
        <f t="shared" si="133"/>
        <v>0</v>
      </c>
      <c r="BN107" s="75">
        <f t="shared" si="133"/>
        <v>0</v>
      </c>
      <c r="BO107" s="75">
        <f t="shared" si="133"/>
        <v>39818</v>
      </c>
      <c r="BP107" s="75">
        <f t="shared" si="133"/>
        <v>0</v>
      </c>
      <c r="BQ107" s="75">
        <f t="shared" si="133"/>
        <v>0</v>
      </c>
      <c r="BR107" s="75"/>
      <c r="BS107" s="75">
        <f t="shared" si="133"/>
        <v>0</v>
      </c>
      <c r="BT107" s="75">
        <f t="shared" si="133"/>
        <v>0</v>
      </c>
      <c r="BU107" s="75">
        <f t="shared" si="133"/>
        <v>39818</v>
      </c>
      <c r="BV107" s="75">
        <f t="shared" si="133"/>
        <v>0</v>
      </c>
      <c r="BW107" s="75">
        <f>BW108+BW109</f>
        <v>8844</v>
      </c>
      <c r="BX107" s="75">
        <f>BX108+BX109</f>
        <v>0</v>
      </c>
      <c r="BY107" s="77">
        <f t="shared" si="130"/>
        <v>22.211060324476367</v>
      </c>
      <c r="BZ107" s="72"/>
    </row>
    <row r="108" spans="1:78" s="12" customFormat="1" ht="102.75" customHeight="1" hidden="1">
      <c r="A108" s="88" t="s">
        <v>360</v>
      </c>
      <c r="B108" s="89" t="s">
        <v>135</v>
      </c>
      <c r="C108" s="89" t="s">
        <v>148</v>
      </c>
      <c r="D108" s="90" t="s">
        <v>122</v>
      </c>
      <c r="E108" s="89" t="s">
        <v>153</v>
      </c>
      <c r="F108" s="75"/>
      <c r="G108" s="75">
        <f>H108-F108</f>
        <v>9862</v>
      </c>
      <c r="H108" s="75">
        <v>9862</v>
      </c>
      <c r="I108" s="69"/>
      <c r="J108" s="69"/>
      <c r="K108" s="69"/>
      <c r="L108" s="69"/>
      <c r="M108" s="75">
        <f>H108+J108+K108+L108</f>
        <v>9862</v>
      </c>
      <c r="N108" s="78">
        <f>I108+L108</f>
        <v>0</v>
      </c>
      <c r="O108" s="69"/>
      <c r="P108" s="69"/>
      <c r="Q108" s="106"/>
      <c r="R108" s="106"/>
      <c r="S108" s="75">
        <f>M108+O108+P108+Q108+R108</f>
        <v>9862</v>
      </c>
      <c r="T108" s="75">
        <f>N108+R108</f>
        <v>0</v>
      </c>
      <c r="U108" s="106"/>
      <c r="V108" s="106"/>
      <c r="W108" s="106"/>
      <c r="X108" s="106"/>
      <c r="Y108" s="106"/>
      <c r="Z108" s="106"/>
      <c r="AA108" s="106"/>
      <c r="AB108" s="75">
        <f>S108+U108+V108+W108+X108+Y108+Z108+AA108</f>
        <v>9862</v>
      </c>
      <c r="AC108" s="80">
        <f>T108+Z108+AA108</f>
        <v>0</v>
      </c>
      <c r="AD108" s="107"/>
      <c r="AE108" s="107"/>
      <c r="AF108" s="75">
        <v>-2250</v>
      </c>
      <c r="AG108" s="107"/>
      <c r="AH108" s="107"/>
      <c r="AI108" s="75">
        <f>AB108+AD108+AE108+AF108+AG108+AH108</f>
        <v>7612</v>
      </c>
      <c r="AJ108" s="75">
        <f>AC108+AH108</f>
        <v>0</v>
      </c>
      <c r="AK108" s="106"/>
      <c r="AL108" s="75">
        <f>AI108+AK108</f>
        <v>7612</v>
      </c>
      <c r="AM108" s="75">
        <f>AJ108</f>
        <v>0</v>
      </c>
      <c r="AN108" s="75">
        <v>2250</v>
      </c>
      <c r="AO108" s="75"/>
      <c r="AP108" s="106"/>
      <c r="AQ108" s="106"/>
      <c r="AR108" s="75">
        <f>AL108+AN108+AO108+AP108+AQ108</f>
        <v>9862</v>
      </c>
      <c r="AS108" s="75">
        <f>AM108+AQ108</f>
        <v>0</v>
      </c>
      <c r="AT108" s="108"/>
      <c r="AU108" s="108"/>
      <c r="AV108" s="108"/>
      <c r="AW108" s="76">
        <f>AV108+AU108+AT108+AR108</f>
        <v>9862</v>
      </c>
      <c r="AX108" s="76">
        <f>AV108+AS108</f>
        <v>0</v>
      </c>
      <c r="AY108" s="75">
        <v>-385</v>
      </c>
      <c r="AZ108" s="69"/>
      <c r="BA108" s="69"/>
      <c r="BB108" s="69"/>
      <c r="BC108" s="69"/>
      <c r="BD108" s="75">
        <f>AW108+AY108+AZ108+BA108+BB108+BC108</f>
        <v>9477</v>
      </c>
      <c r="BE108" s="75">
        <f>AX108+BC108</f>
        <v>0</v>
      </c>
      <c r="BF108" s="106"/>
      <c r="BG108" s="106"/>
      <c r="BH108" s="106"/>
      <c r="BI108" s="75">
        <f>BD108+BF108+BG108+BH108</f>
        <v>9477</v>
      </c>
      <c r="BJ108" s="75">
        <f>BE108+BH108</f>
        <v>0</v>
      </c>
      <c r="BK108" s="109"/>
      <c r="BL108" s="109"/>
      <c r="BM108" s="109"/>
      <c r="BN108" s="109"/>
      <c r="BO108" s="75">
        <f>BI108+BK108+BL108+BM108+BN108</f>
        <v>9477</v>
      </c>
      <c r="BP108" s="75">
        <f>BJ108+BN108</f>
        <v>0</v>
      </c>
      <c r="BQ108" s="106"/>
      <c r="BR108" s="106"/>
      <c r="BS108" s="106"/>
      <c r="BT108" s="106"/>
      <c r="BU108" s="75">
        <f>BO108+BQ108+BS108+BT108</f>
        <v>9477</v>
      </c>
      <c r="BV108" s="75">
        <f>BP108+BT108</f>
        <v>0</v>
      </c>
      <c r="BW108" s="75">
        <v>8844</v>
      </c>
      <c r="BX108" s="75">
        <f>BR108+BV108</f>
        <v>0</v>
      </c>
      <c r="BY108" s="77">
        <f t="shared" si="130"/>
        <v>93.32067109844887</v>
      </c>
      <c r="BZ108" s="72"/>
    </row>
    <row r="109" spans="1:78" s="12" customFormat="1" ht="68.25" customHeight="1" hidden="1">
      <c r="A109" s="88" t="s">
        <v>363</v>
      </c>
      <c r="B109" s="89" t="s">
        <v>135</v>
      </c>
      <c r="C109" s="89" t="s">
        <v>148</v>
      </c>
      <c r="D109" s="90" t="s">
        <v>341</v>
      </c>
      <c r="E109" s="89"/>
      <c r="F109" s="75"/>
      <c r="G109" s="75"/>
      <c r="H109" s="75"/>
      <c r="I109" s="69"/>
      <c r="J109" s="69"/>
      <c r="K109" s="69"/>
      <c r="L109" s="69"/>
      <c r="M109" s="75"/>
      <c r="N109" s="78"/>
      <c r="O109" s="69"/>
      <c r="P109" s="69"/>
      <c r="Q109" s="106"/>
      <c r="R109" s="106"/>
      <c r="S109" s="75"/>
      <c r="T109" s="75"/>
      <c r="U109" s="106"/>
      <c r="V109" s="106"/>
      <c r="W109" s="106"/>
      <c r="X109" s="106"/>
      <c r="Y109" s="106"/>
      <c r="Z109" s="106"/>
      <c r="AA109" s="106"/>
      <c r="AB109" s="75"/>
      <c r="AC109" s="80"/>
      <c r="AD109" s="107"/>
      <c r="AE109" s="107"/>
      <c r="AF109" s="75"/>
      <c r="AG109" s="107"/>
      <c r="AH109" s="107"/>
      <c r="AI109" s="75"/>
      <c r="AJ109" s="75"/>
      <c r="AK109" s="106"/>
      <c r="AL109" s="75"/>
      <c r="AM109" s="75"/>
      <c r="AN109" s="75"/>
      <c r="AO109" s="75"/>
      <c r="AP109" s="106"/>
      <c r="AQ109" s="106"/>
      <c r="AR109" s="75"/>
      <c r="AS109" s="75"/>
      <c r="AT109" s="81">
        <f>AT110</f>
        <v>30341</v>
      </c>
      <c r="AU109" s="81">
        <f>AU110</f>
        <v>0</v>
      </c>
      <c r="AV109" s="81">
        <f>AV110</f>
        <v>0</v>
      </c>
      <c r="AW109" s="81">
        <f>AW110</f>
        <v>30341</v>
      </c>
      <c r="AX109" s="81">
        <f aca="true" t="shared" si="134" ref="AX109:BX109">AX110</f>
        <v>0</v>
      </c>
      <c r="AY109" s="75">
        <f t="shared" si="134"/>
        <v>0</v>
      </c>
      <c r="AZ109" s="75">
        <f t="shared" si="134"/>
        <v>0</v>
      </c>
      <c r="BA109" s="75">
        <f t="shared" si="134"/>
        <v>0</v>
      </c>
      <c r="BB109" s="75">
        <f t="shared" si="134"/>
        <v>0</v>
      </c>
      <c r="BC109" s="75">
        <f t="shared" si="134"/>
        <v>0</v>
      </c>
      <c r="BD109" s="75">
        <f t="shared" si="134"/>
        <v>30341</v>
      </c>
      <c r="BE109" s="75">
        <f t="shared" si="134"/>
        <v>0</v>
      </c>
      <c r="BF109" s="75">
        <f t="shared" si="134"/>
        <v>0</v>
      </c>
      <c r="BG109" s="75">
        <f t="shared" si="134"/>
        <v>0</v>
      </c>
      <c r="BH109" s="75">
        <f t="shared" si="134"/>
        <v>0</v>
      </c>
      <c r="BI109" s="75">
        <f t="shared" si="134"/>
        <v>30341</v>
      </c>
      <c r="BJ109" s="75">
        <f t="shared" si="134"/>
        <v>0</v>
      </c>
      <c r="BK109" s="75">
        <f t="shared" si="134"/>
        <v>0</v>
      </c>
      <c r="BL109" s="75">
        <f t="shared" si="134"/>
        <v>0</v>
      </c>
      <c r="BM109" s="75">
        <f t="shared" si="134"/>
        <v>0</v>
      </c>
      <c r="BN109" s="75">
        <f t="shared" si="134"/>
        <v>0</v>
      </c>
      <c r="BO109" s="75">
        <f t="shared" si="134"/>
        <v>30341</v>
      </c>
      <c r="BP109" s="75">
        <f t="shared" si="134"/>
        <v>0</v>
      </c>
      <c r="BQ109" s="75">
        <f t="shared" si="134"/>
        <v>0</v>
      </c>
      <c r="BR109" s="75"/>
      <c r="BS109" s="75">
        <f t="shared" si="134"/>
        <v>0</v>
      </c>
      <c r="BT109" s="75">
        <f t="shared" si="134"/>
        <v>0</v>
      </c>
      <c r="BU109" s="75">
        <f t="shared" si="134"/>
        <v>30341</v>
      </c>
      <c r="BV109" s="75">
        <f t="shared" si="134"/>
        <v>0</v>
      </c>
      <c r="BW109" s="75">
        <f t="shared" si="134"/>
        <v>0</v>
      </c>
      <c r="BX109" s="75">
        <f t="shared" si="134"/>
        <v>0</v>
      </c>
      <c r="BY109" s="77">
        <f t="shared" si="130"/>
        <v>0</v>
      </c>
      <c r="BZ109" s="72"/>
    </row>
    <row r="110" spans="1:78" s="12" customFormat="1" ht="99.75" customHeight="1" hidden="1">
      <c r="A110" s="88" t="s">
        <v>360</v>
      </c>
      <c r="B110" s="89" t="s">
        <v>135</v>
      </c>
      <c r="C110" s="89" t="s">
        <v>148</v>
      </c>
      <c r="D110" s="90" t="s">
        <v>341</v>
      </c>
      <c r="E110" s="89" t="s">
        <v>153</v>
      </c>
      <c r="F110" s="75"/>
      <c r="G110" s="75"/>
      <c r="H110" s="69"/>
      <c r="I110" s="69"/>
      <c r="J110" s="69"/>
      <c r="K110" s="69"/>
      <c r="L110" s="69"/>
      <c r="M110" s="69"/>
      <c r="N110" s="69"/>
      <c r="O110" s="69"/>
      <c r="P110" s="69"/>
      <c r="Q110" s="106"/>
      <c r="R110" s="106"/>
      <c r="S110" s="69"/>
      <c r="T110" s="69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7"/>
      <c r="AE110" s="107"/>
      <c r="AF110" s="69"/>
      <c r="AG110" s="107"/>
      <c r="AH110" s="107"/>
      <c r="AI110" s="107"/>
      <c r="AJ110" s="107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81">
        <v>30341</v>
      </c>
      <c r="AU110" s="81"/>
      <c r="AV110" s="81"/>
      <c r="AW110" s="76">
        <f>AV110+AU110+AT110+AR110</f>
        <v>30341</v>
      </c>
      <c r="AX110" s="108"/>
      <c r="AY110" s="69"/>
      <c r="AZ110" s="69"/>
      <c r="BA110" s="69"/>
      <c r="BB110" s="69"/>
      <c r="BC110" s="69"/>
      <c r="BD110" s="75">
        <f>AW110+AY110+AZ110+BA110+BB110+BC110</f>
        <v>30341</v>
      </c>
      <c r="BE110" s="75">
        <f>AX110+BC110</f>
        <v>0</v>
      </c>
      <c r="BF110" s="106"/>
      <c r="BG110" s="106"/>
      <c r="BH110" s="106"/>
      <c r="BI110" s="75">
        <f>BD110+BF110+BG110+BH110</f>
        <v>30341</v>
      </c>
      <c r="BJ110" s="75">
        <f>BE110+BH110</f>
        <v>0</v>
      </c>
      <c r="BK110" s="109"/>
      <c r="BL110" s="109"/>
      <c r="BM110" s="109"/>
      <c r="BN110" s="109"/>
      <c r="BO110" s="75">
        <f>BI110+BK110+BL110+BM110+BN110</f>
        <v>30341</v>
      </c>
      <c r="BP110" s="75">
        <f>BJ110+BN110</f>
        <v>0</v>
      </c>
      <c r="BQ110" s="106"/>
      <c r="BR110" s="106"/>
      <c r="BS110" s="106"/>
      <c r="BT110" s="106"/>
      <c r="BU110" s="75">
        <f>BO110+BQ110+BS110+BT110</f>
        <v>30341</v>
      </c>
      <c r="BV110" s="75">
        <f>BP110+BT110</f>
        <v>0</v>
      </c>
      <c r="BW110" s="75"/>
      <c r="BX110" s="75">
        <f>BR110+BV110</f>
        <v>0</v>
      </c>
      <c r="BY110" s="77">
        <f t="shared" si="130"/>
        <v>0</v>
      </c>
      <c r="BZ110" s="72"/>
    </row>
    <row r="111" spans="1:78" s="12" customFormat="1" ht="12.75" customHeight="1">
      <c r="A111" s="88"/>
      <c r="B111" s="89"/>
      <c r="C111" s="89"/>
      <c r="D111" s="90"/>
      <c r="E111" s="89"/>
      <c r="F111" s="75"/>
      <c r="G111" s="75"/>
      <c r="H111" s="69"/>
      <c r="I111" s="69"/>
      <c r="J111" s="69"/>
      <c r="K111" s="69"/>
      <c r="L111" s="69"/>
      <c r="M111" s="69"/>
      <c r="N111" s="69"/>
      <c r="O111" s="69"/>
      <c r="P111" s="69"/>
      <c r="Q111" s="106"/>
      <c r="R111" s="106"/>
      <c r="S111" s="69"/>
      <c r="T111" s="69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7"/>
      <c r="AE111" s="107"/>
      <c r="AF111" s="69"/>
      <c r="AG111" s="107"/>
      <c r="AH111" s="107"/>
      <c r="AI111" s="107"/>
      <c r="AJ111" s="107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81"/>
      <c r="AU111" s="81"/>
      <c r="AV111" s="81"/>
      <c r="AW111" s="76"/>
      <c r="AX111" s="108"/>
      <c r="AY111" s="69"/>
      <c r="AZ111" s="69"/>
      <c r="BA111" s="69"/>
      <c r="BB111" s="69"/>
      <c r="BC111" s="69"/>
      <c r="BD111" s="75"/>
      <c r="BE111" s="75"/>
      <c r="BF111" s="106"/>
      <c r="BG111" s="106"/>
      <c r="BH111" s="106"/>
      <c r="BI111" s="75"/>
      <c r="BJ111" s="75"/>
      <c r="BK111" s="109"/>
      <c r="BL111" s="109"/>
      <c r="BM111" s="109"/>
      <c r="BN111" s="109"/>
      <c r="BO111" s="75"/>
      <c r="BP111" s="75"/>
      <c r="BQ111" s="106"/>
      <c r="BR111" s="106"/>
      <c r="BS111" s="106"/>
      <c r="BT111" s="106"/>
      <c r="BU111" s="75"/>
      <c r="BV111" s="75"/>
      <c r="BW111" s="75"/>
      <c r="BX111" s="75"/>
      <c r="BY111" s="77"/>
      <c r="BZ111" s="72"/>
    </row>
    <row r="112" spans="1:78" s="12" customFormat="1" ht="20.25" customHeight="1">
      <c r="A112" s="66" t="s">
        <v>239</v>
      </c>
      <c r="B112" s="67" t="s">
        <v>135</v>
      </c>
      <c r="C112" s="67" t="s">
        <v>3</v>
      </c>
      <c r="D112" s="90"/>
      <c r="E112" s="89"/>
      <c r="F112" s="75">
        <f>F113</f>
        <v>0</v>
      </c>
      <c r="G112" s="69">
        <f aca="true" t="shared" si="135" ref="G112:V113">G113</f>
        <v>12500</v>
      </c>
      <c r="H112" s="69">
        <f t="shared" si="135"/>
        <v>12500</v>
      </c>
      <c r="I112" s="69">
        <f t="shared" si="135"/>
        <v>0</v>
      </c>
      <c r="J112" s="69">
        <f t="shared" si="135"/>
        <v>0</v>
      </c>
      <c r="K112" s="69">
        <f t="shared" si="135"/>
        <v>0</v>
      </c>
      <c r="L112" s="69">
        <f t="shared" si="135"/>
        <v>0</v>
      </c>
      <c r="M112" s="69">
        <f t="shared" si="135"/>
        <v>12500</v>
      </c>
      <c r="N112" s="69">
        <f t="shared" si="135"/>
        <v>0</v>
      </c>
      <c r="O112" s="69">
        <f t="shared" si="135"/>
        <v>0</v>
      </c>
      <c r="P112" s="69"/>
      <c r="Q112" s="69">
        <f t="shared" si="135"/>
        <v>0</v>
      </c>
      <c r="R112" s="69">
        <f t="shared" si="135"/>
        <v>0</v>
      </c>
      <c r="S112" s="69">
        <f t="shared" si="135"/>
        <v>12500</v>
      </c>
      <c r="T112" s="69">
        <f t="shared" si="135"/>
        <v>0</v>
      </c>
      <c r="U112" s="69">
        <f t="shared" si="135"/>
        <v>0</v>
      </c>
      <c r="V112" s="69">
        <f t="shared" si="135"/>
        <v>0</v>
      </c>
      <c r="W112" s="69">
        <f aca="true" t="shared" si="136" ref="T112:AJ113">W113</f>
        <v>0</v>
      </c>
      <c r="X112" s="69">
        <f t="shared" si="136"/>
        <v>0</v>
      </c>
      <c r="Y112" s="69">
        <f t="shared" si="136"/>
        <v>0</v>
      </c>
      <c r="Z112" s="69">
        <f t="shared" si="136"/>
        <v>0</v>
      </c>
      <c r="AA112" s="69">
        <f t="shared" si="136"/>
        <v>0</v>
      </c>
      <c r="AB112" s="69">
        <f t="shared" si="136"/>
        <v>12500</v>
      </c>
      <c r="AC112" s="69">
        <f t="shared" si="136"/>
        <v>0</v>
      </c>
      <c r="AD112" s="69">
        <f t="shared" si="136"/>
        <v>0</v>
      </c>
      <c r="AE112" s="69">
        <f t="shared" si="136"/>
        <v>0</v>
      </c>
      <c r="AF112" s="69">
        <f t="shared" si="136"/>
        <v>0</v>
      </c>
      <c r="AG112" s="69">
        <f t="shared" si="136"/>
        <v>0</v>
      </c>
      <c r="AH112" s="69">
        <f t="shared" si="136"/>
        <v>0</v>
      </c>
      <c r="AI112" s="69">
        <f t="shared" si="136"/>
        <v>12500</v>
      </c>
      <c r="AJ112" s="69">
        <f t="shared" si="136"/>
        <v>0</v>
      </c>
      <c r="AK112" s="69">
        <f>AK113</f>
        <v>0</v>
      </c>
      <c r="AL112" s="69">
        <f>AL113</f>
        <v>12500</v>
      </c>
      <c r="AM112" s="69">
        <f aca="true" t="shared" si="137" ref="AM112:BX112">AM113</f>
        <v>0</v>
      </c>
      <c r="AN112" s="69">
        <f t="shared" si="137"/>
        <v>0</v>
      </c>
      <c r="AO112" s="69">
        <f t="shared" si="137"/>
        <v>0</v>
      </c>
      <c r="AP112" s="69">
        <f t="shared" si="137"/>
        <v>0</v>
      </c>
      <c r="AQ112" s="69">
        <f t="shared" si="137"/>
        <v>0</v>
      </c>
      <c r="AR112" s="69">
        <f t="shared" si="137"/>
        <v>12500</v>
      </c>
      <c r="AS112" s="69">
        <f t="shared" si="137"/>
        <v>0</v>
      </c>
      <c r="AT112" s="70">
        <f t="shared" si="137"/>
        <v>0</v>
      </c>
      <c r="AU112" s="70">
        <f t="shared" si="137"/>
        <v>0</v>
      </c>
      <c r="AV112" s="70">
        <f t="shared" si="137"/>
        <v>0</v>
      </c>
      <c r="AW112" s="70">
        <f t="shared" si="137"/>
        <v>12500</v>
      </c>
      <c r="AX112" s="70">
        <f t="shared" si="137"/>
        <v>0</v>
      </c>
      <c r="AY112" s="69">
        <f t="shared" si="137"/>
        <v>0</v>
      </c>
      <c r="AZ112" s="69">
        <f t="shared" si="137"/>
        <v>0</v>
      </c>
      <c r="BA112" s="69">
        <f t="shared" si="137"/>
        <v>0</v>
      </c>
      <c r="BB112" s="69">
        <f t="shared" si="137"/>
        <v>0</v>
      </c>
      <c r="BC112" s="69">
        <f t="shared" si="137"/>
        <v>0</v>
      </c>
      <c r="BD112" s="69">
        <f t="shared" si="137"/>
        <v>12500</v>
      </c>
      <c r="BE112" s="69">
        <f t="shared" si="137"/>
        <v>0</v>
      </c>
      <c r="BF112" s="69">
        <f t="shared" si="137"/>
        <v>0</v>
      </c>
      <c r="BG112" s="69">
        <f t="shared" si="137"/>
        <v>0</v>
      </c>
      <c r="BH112" s="69">
        <f t="shared" si="137"/>
        <v>0</v>
      </c>
      <c r="BI112" s="69">
        <f t="shared" si="137"/>
        <v>12500</v>
      </c>
      <c r="BJ112" s="69">
        <f t="shared" si="137"/>
        <v>0</v>
      </c>
      <c r="BK112" s="69">
        <f t="shared" si="137"/>
        <v>0</v>
      </c>
      <c r="BL112" s="69">
        <f t="shared" si="137"/>
        <v>0</v>
      </c>
      <c r="BM112" s="69">
        <f t="shared" si="137"/>
        <v>0</v>
      </c>
      <c r="BN112" s="69">
        <f t="shared" si="137"/>
        <v>0</v>
      </c>
      <c r="BO112" s="69">
        <f t="shared" si="137"/>
        <v>12500</v>
      </c>
      <c r="BP112" s="69">
        <f t="shared" si="137"/>
        <v>0</v>
      </c>
      <c r="BQ112" s="69">
        <f t="shared" si="137"/>
        <v>0</v>
      </c>
      <c r="BR112" s="69"/>
      <c r="BS112" s="69">
        <f t="shared" si="137"/>
        <v>0</v>
      </c>
      <c r="BT112" s="69">
        <f t="shared" si="137"/>
        <v>0</v>
      </c>
      <c r="BU112" s="69">
        <f t="shared" si="137"/>
        <v>12500</v>
      </c>
      <c r="BV112" s="69">
        <f t="shared" si="137"/>
        <v>0</v>
      </c>
      <c r="BW112" s="69">
        <f t="shared" si="137"/>
        <v>12500</v>
      </c>
      <c r="BX112" s="69">
        <f t="shared" si="137"/>
        <v>0</v>
      </c>
      <c r="BY112" s="71">
        <f t="shared" si="130"/>
        <v>100</v>
      </c>
      <c r="BZ112" s="72"/>
    </row>
    <row r="113" spans="1:78" s="12" customFormat="1" ht="26.25" customHeight="1" hidden="1">
      <c r="A113" s="88" t="s">
        <v>240</v>
      </c>
      <c r="B113" s="89" t="s">
        <v>135</v>
      </c>
      <c r="C113" s="89" t="s">
        <v>3</v>
      </c>
      <c r="D113" s="90" t="s">
        <v>241</v>
      </c>
      <c r="E113" s="89"/>
      <c r="F113" s="75">
        <f>F114</f>
        <v>0</v>
      </c>
      <c r="G113" s="75">
        <f t="shared" si="135"/>
        <v>12500</v>
      </c>
      <c r="H113" s="75">
        <f t="shared" si="135"/>
        <v>12500</v>
      </c>
      <c r="I113" s="75">
        <f t="shared" si="135"/>
        <v>0</v>
      </c>
      <c r="J113" s="75">
        <f t="shared" si="135"/>
        <v>0</v>
      </c>
      <c r="K113" s="75">
        <f t="shared" si="135"/>
        <v>0</v>
      </c>
      <c r="L113" s="75">
        <f t="shared" si="135"/>
        <v>0</v>
      </c>
      <c r="M113" s="75">
        <f t="shared" si="135"/>
        <v>12500</v>
      </c>
      <c r="N113" s="75">
        <f t="shared" si="135"/>
        <v>0</v>
      </c>
      <c r="O113" s="75">
        <f t="shared" si="135"/>
        <v>0</v>
      </c>
      <c r="P113" s="75"/>
      <c r="Q113" s="75">
        <f t="shared" si="135"/>
        <v>0</v>
      </c>
      <c r="R113" s="75">
        <f t="shared" si="135"/>
        <v>0</v>
      </c>
      <c r="S113" s="75">
        <f t="shared" si="135"/>
        <v>12500</v>
      </c>
      <c r="T113" s="75">
        <f t="shared" si="136"/>
        <v>0</v>
      </c>
      <c r="U113" s="75">
        <f t="shared" si="136"/>
        <v>0</v>
      </c>
      <c r="V113" s="75">
        <f t="shared" si="136"/>
        <v>0</v>
      </c>
      <c r="W113" s="75">
        <f t="shared" si="136"/>
        <v>0</v>
      </c>
      <c r="X113" s="75">
        <f t="shared" si="136"/>
        <v>0</v>
      </c>
      <c r="Y113" s="75">
        <f t="shared" si="136"/>
        <v>0</v>
      </c>
      <c r="Z113" s="75">
        <f t="shared" si="136"/>
        <v>0</v>
      </c>
      <c r="AA113" s="75">
        <f t="shared" si="136"/>
        <v>0</v>
      </c>
      <c r="AB113" s="75">
        <f t="shared" si="136"/>
        <v>12500</v>
      </c>
      <c r="AC113" s="75">
        <f aca="true" t="shared" si="138" ref="AC113:BX113">AC114</f>
        <v>0</v>
      </c>
      <c r="AD113" s="75">
        <f t="shared" si="138"/>
        <v>0</v>
      </c>
      <c r="AE113" s="75">
        <f t="shared" si="138"/>
        <v>0</v>
      </c>
      <c r="AF113" s="75">
        <f t="shared" si="138"/>
        <v>0</v>
      </c>
      <c r="AG113" s="75">
        <f t="shared" si="138"/>
        <v>0</v>
      </c>
      <c r="AH113" s="75">
        <f t="shared" si="138"/>
        <v>0</v>
      </c>
      <c r="AI113" s="75">
        <f t="shared" si="138"/>
        <v>12500</v>
      </c>
      <c r="AJ113" s="75">
        <f t="shared" si="138"/>
        <v>0</v>
      </c>
      <c r="AK113" s="75">
        <f t="shared" si="138"/>
        <v>0</v>
      </c>
      <c r="AL113" s="75">
        <f t="shared" si="138"/>
        <v>12500</v>
      </c>
      <c r="AM113" s="75">
        <f t="shared" si="138"/>
        <v>0</v>
      </c>
      <c r="AN113" s="75">
        <f t="shared" si="138"/>
        <v>0</v>
      </c>
      <c r="AO113" s="75">
        <f t="shared" si="138"/>
        <v>0</v>
      </c>
      <c r="AP113" s="75">
        <f t="shared" si="138"/>
        <v>0</v>
      </c>
      <c r="AQ113" s="75">
        <f t="shared" si="138"/>
        <v>0</v>
      </c>
      <c r="AR113" s="75">
        <f t="shared" si="138"/>
        <v>12500</v>
      </c>
      <c r="AS113" s="75">
        <f t="shared" si="138"/>
        <v>0</v>
      </c>
      <c r="AT113" s="76">
        <f t="shared" si="138"/>
        <v>0</v>
      </c>
      <c r="AU113" s="76">
        <f t="shared" si="138"/>
        <v>0</v>
      </c>
      <c r="AV113" s="76">
        <f t="shared" si="138"/>
        <v>0</v>
      </c>
      <c r="AW113" s="76">
        <f t="shared" si="138"/>
        <v>12500</v>
      </c>
      <c r="AX113" s="76">
        <f t="shared" si="138"/>
        <v>0</v>
      </c>
      <c r="AY113" s="75">
        <f t="shared" si="138"/>
        <v>0</v>
      </c>
      <c r="AZ113" s="75">
        <f t="shared" si="138"/>
        <v>0</v>
      </c>
      <c r="BA113" s="75">
        <f t="shared" si="138"/>
        <v>0</v>
      </c>
      <c r="BB113" s="75">
        <f t="shared" si="138"/>
        <v>0</v>
      </c>
      <c r="BC113" s="75">
        <f t="shared" si="138"/>
        <v>0</v>
      </c>
      <c r="BD113" s="75">
        <f t="shared" si="138"/>
        <v>12500</v>
      </c>
      <c r="BE113" s="75">
        <f t="shared" si="138"/>
        <v>0</v>
      </c>
      <c r="BF113" s="75">
        <f t="shared" si="138"/>
        <v>0</v>
      </c>
      <c r="BG113" s="75">
        <f t="shared" si="138"/>
        <v>0</v>
      </c>
      <c r="BH113" s="75">
        <f t="shared" si="138"/>
        <v>0</v>
      </c>
      <c r="BI113" s="75">
        <f t="shared" si="138"/>
        <v>12500</v>
      </c>
      <c r="BJ113" s="75">
        <f t="shared" si="138"/>
        <v>0</v>
      </c>
      <c r="BK113" s="75">
        <f t="shared" si="138"/>
        <v>0</v>
      </c>
      <c r="BL113" s="75">
        <f t="shared" si="138"/>
        <v>0</v>
      </c>
      <c r="BM113" s="75">
        <f t="shared" si="138"/>
        <v>0</v>
      </c>
      <c r="BN113" s="75">
        <f t="shared" si="138"/>
        <v>0</v>
      </c>
      <c r="BO113" s="75">
        <f t="shared" si="138"/>
        <v>12500</v>
      </c>
      <c r="BP113" s="75">
        <f t="shared" si="138"/>
        <v>0</v>
      </c>
      <c r="BQ113" s="75">
        <f t="shared" si="138"/>
        <v>0</v>
      </c>
      <c r="BR113" s="75"/>
      <c r="BS113" s="75">
        <f t="shared" si="138"/>
        <v>0</v>
      </c>
      <c r="BT113" s="75">
        <f t="shared" si="138"/>
        <v>0</v>
      </c>
      <c r="BU113" s="75">
        <f t="shared" si="138"/>
        <v>12500</v>
      </c>
      <c r="BV113" s="75">
        <f t="shared" si="138"/>
        <v>0</v>
      </c>
      <c r="BW113" s="75">
        <f t="shared" si="138"/>
        <v>12500</v>
      </c>
      <c r="BX113" s="75">
        <f t="shared" si="138"/>
        <v>0</v>
      </c>
      <c r="BY113" s="77">
        <f t="shared" si="130"/>
        <v>100</v>
      </c>
      <c r="BZ113" s="72"/>
    </row>
    <row r="114" spans="1:78" s="12" customFormat="1" ht="52.5" customHeight="1" hidden="1">
      <c r="A114" s="88" t="s">
        <v>166</v>
      </c>
      <c r="B114" s="89" t="s">
        <v>135</v>
      </c>
      <c r="C114" s="89" t="s">
        <v>3</v>
      </c>
      <c r="D114" s="90" t="s">
        <v>241</v>
      </c>
      <c r="E114" s="89" t="s">
        <v>167</v>
      </c>
      <c r="F114" s="75"/>
      <c r="G114" s="75">
        <f>H114-F114</f>
        <v>12500</v>
      </c>
      <c r="H114" s="75">
        <v>12500</v>
      </c>
      <c r="I114" s="69"/>
      <c r="J114" s="69"/>
      <c r="K114" s="69"/>
      <c r="L114" s="69"/>
      <c r="M114" s="75">
        <f>H114+J114+K114+L114</f>
        <v>12500</v>
      </c>
      <c r="N114" s="78">
        <f>I114+L114</f>
        <v>0</v>
      </c>
      <c r="O114" s="69"/>
      <c r="P114" s="69"/>
      <c r="Q114" s="106"/>
      <c r="R114" s="106"/>
      <c r="S114" s="75">
        <f>M114+O114+P114+Q114+R114</f>
        <v>12500</v>
      </c>
      <c r="T114" s="75">
        <f>N114+R114</f>
        <v>0</v>
      </c>
      <c r="U114" s="106"/>
      <c r="V114" s="106"/>
      <c r="W114" s="106"/>
      <c r="X114" s="106"/>
      <c r="Y114" s="106"/>
      <c r="Z114" s="106"/>
      <c r="AA114" s="106"/>
      <c r="AB114" s="75">
        <f>S114+U114+V114+W114+X114+Y114+Z114+AA114</f>
        <v>12500</v>
      </c>
      <c r="AC114" s="80">
        <f>T114+Z114+AA114</f>
        <v>0</v>
      </c>
      <c r="AD114" s="107"/>
      <c r="AE114" s="107"/>
      <c r="AF114" s="69"/>
      <c r="AG114" s="107"/>
      <c r="AH114" s="107"/>
      <c r="AI114" s="75">
        <f>AB114+AD114+AE114+AF114+AG114+AH114</f>
        <v>12500</v>
      </c>
      <c r="AJ114" s="75">
        <f>AC114+AH114</f>
        <v>0</v>
      </c>
      <c r="AK114" s="106"/>
      <c r="AL114" s="75">
        <f>AI114+AK114</f>
        <v>12500</v>
      </c>
      <c r="AM114" s="75">
        <f>AJ114</f>
        <v>0</v>
      </c>
      <c r="AN114" s="106"/>
      <c r="AO114" s="106"/>
      <c r="AP114" s="106"/>
      <c r="AQ114" s="106"/>
      <c r="AR114" s="75">
        <f>AL114+AN114+AO114+AP114+AQ114</f>
        <v>12500</v>
      </c>
      <c r="AS114" s="75">
        <f>AM114+AQ114</f>
        <v>0</v>
      </c>
      <c r="AT114" s="108"/>
      <c r="AU114" s="108"/>
      <c r="AV114" s="108"/>
      <c r="AW114" s="76">
        <f>AV114+AU114+AT114+AR114</f>
        <v>12500</v>
      </c>
      <c r="AX114" s="76">
        <f>AV114+AS114</f>
        <v>0</v>
      </c>
      <c r="AY114" s="69"/>
      <c r="AZ114" s="69"/>
      <c r="BA114" s="69"/>
      <c r="BB114" s="69"/>
      <c r="BC114" s="69"/>
      <c r="BD114" s="75">
        <f>AW114+AY114+AZ114+BA114+BB114+BC114</f>
        <v>12500</v>
      </c>
      <c r="BE114" s="75">
        <f>AX114+BC114</f>
        <v>0</v>
      </c>
      <c r="BF114" s="106"/>
      <c r="BG114" s="106"/>
      <c r="BH114" s="106"/>
      <c r="BI114" s="75">
        <f>BD114+BF114+BG114+BH114</f>
        <v>12500</v>
      </c>
      <c r="BJ114" s="75">
        <f>BE114+BH114</f>
        <v>0</v>
      </c>
      <c r="BK114" s="109"/>
      <c r="BL114" s="109"/>
      <c r="BM114" s="109"/>
      <c r="BN114" s="109"/>
      <c r="BO114" s="75">
        <f>BI114+BK114+BL114+BM114+BN114</f>
        <v>12500</v>
      </c>
      <c r="BP114" s="75">
        <f>BJ114+BN114</f>
        <v>0</v>
      </c>
      <c r="BQ114" s="106"/>
      <c r="BR114" s="106"/>
      <c r="BS114" s="106"/>
      <c r="BT114" s="106"/>
      <c r="BU114" s="75">
        <f>BO114+BQ114+BS114+BT114</f>
        <v>12500</v>
      </c>
      <c r="BV114" s="75">
        <f>BP114+BT114</f>
        <v>0</v>
      </c>
      <c r="BW114" s="75">
        <v>12500</v>
      </c>
      <c r="BX114" s="75">
        <f>BR114+BV114</f>
        <v>0</v>
      </c>
      <c r="BY114" s="77">
        <f t="shared" si="130"/>
        <v>100</v>
      </c>
      <c r="BZ114" s="72"/>
    </row>
    <row r="115" spans="1:78" s="12" customFormat="1" ht="13.5" customHeight="1">
      <c r="A115" s="88"/>
      <c r="B115" s="89"/>
      <c r="C115" s="89"/>
      <c r="D115" s="90"/>
      <c r="E115" s="89"/>
      <c r="F115" s="75"/>
      <c r="G115" s="75"/>
      <c r="H115" s="69"/>
      <c r="I115" s="69"/>
      <c r="J115" s="69"/>
      <c r="K115" s="69"/>
      <c r="L115" s="69"/>
      <c r="M115" s="69"/>
      <c r="N115" s="69"/>
      <c r="O115" s="69"/>
      <c r="P115" s="69"/>
      <c r="Q115" s="106"/>
      <c r="R115" s="106"/>
      <c r="S115" s="69"/>
      <c r="T115" s="69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7"/>
      <c r="AE115" s="107"/>
      <c r="AF115" s="69"/>
      <c r="AG115" s="107"/>
      <c r="AH115" s="107"/>
      <c r="AI115" s="107"/>
      <c r="AJ115" s="107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8"/>
      <c r="AU115" s="108"/>
      <c r="AV115" s="108"/>
      <c r="AW115" s="108"/>
      <c r="AX115" s="108"/>
      <c r="AY115" s="69"/>
      <c r="AZ115" s="69"/>
      <c r="BA115" s="69"/>
      <c r="BB115" s="69"/>
      <c r="BC115" s="69"/>
      <c r="BD115" s="109"/>
      <c r="BE115" s="109"/>
      <c r="BF115" s="106"/>
      <c r="BG115" s="106"/>
      <c r="BH115" s="106"/>
      <c r="BI115" s="106"/>
      <c r="BJ115" s="106"/>
      <c r="BK115" s="109"/>
      <c r="BL115" s="109"/>
      <c r="BM115" s="109"/>
      <c r="BN115" s="109"/>
      <c r="BO115" s="109"/>
      <c r="BP115" s="109"/>
      <c r="BQ115" s="106"/>
      <c r="BR115" s="106"/>
      <c r="BS115" s="106"/>
      <c r="BT115" s="106"/>
      <c r="BU115" s="106"/>
      <c r="BV115" s="106"/>
      <c r="BW115" s="106"/>
      <c r="BX115" s="106"/>
      <c r="BY115" s="77"/>
      <c r="BZ115" s="72"/>
    </row>
    <row r="116" spans="1:78" s="12" customFormat="1" ht="39.75" customHeight="1">
      <c r="A116" s="66" t="s">
        <v>211</v>
      </c>
      <c r="B116" s="67" t="s">
        <v>135</v>
      </c>
      <c r="C116" s="67" t="s">
        <v>140</v>
      </c>
      <c r="D116" s="90"/>
      <c r="E116" s="89"/>
      <c r="F116" s="86">
        <f aca="true" t="shared" si="139" ref="F116:U117">F117</f>
        <v>1404</v>
      </c>
      <c r="G116" s="86">
        <f t="shared" si="139"/>
        <v>257</v>
      </c>
      <c r="H116" s="86">
        <f t="shared" si="139"/>
        <v>1661</v>
      </c>
      <c r="I116" s="86">
        <f t="shared" si="139"/>
        <v>0</v>
      </c>
      <c r="J116" s="86">
        <f t="shared" si="139"/>
        <v>0</v>
      </c>
      <c r="K116" s="86">
        <f t="shared" si="139"/>
        <v>0</v>
      </c>
      <c r="L116" s="86">
        <f t="shared" si="139"/>
        <v>0</v>
      </c>
      <c r="M116" s="86">
        <f t="shared" si="139"/>
        <v>1661</v>
      </c>
      <c r="N116" s="86">
        <f t="shared" si="139"/>
        <v>0</v>
      </c>
      <c r="O116" s="86">
        <f t="shared" si="139"/>
        <v>0</v>
      </c>
      <c r="P116" s="86"/>
      <c r="Q116" s="86">
        <f t="shared" si="139"/>
        <v>0</v>
      </c>
      <c r="R116" s="86">
        <f t="shared" si="139"/>
        <v>0</v>
      </c>
      <c r="S116" s="86">
        <f t="shared" si="139"/>
        <v>1661</v>
      </c>
      <c r="T116" s="86">
        <f t="shared" si="139"/>
        <v>0</v>
      </c>
      <c r="U116" s="86">
        <f t="shared" si="139"/>
        <v>0</v>
      </c>
      <c r="V116" s="86">
        <f aca="true" t="shared" si="140" ref="T116:AJ117">V117</f>
        <v>0</v>
      </c>
      <c r="W116" s="86">
        <f t="shared" si="140"/>
        <v>0</v>
      </c>
      <c r="X116" s="86">
        <f t="shared" si="140"/>
        <v>0</v>
      </c>
      <c r="Y116" s="86">
        <f t="shared" si="140"/>
        <v>0</v>
      </c>
      <c r="Z116" s="86">
        <f t="shared" si="140"/>
        <v>0</v>
      </c>
      <c r="AA116" s="86">
        <f t="shared" si="140"/>
        <v>0</v>
      </c>
      <c r="AB116" s="86">
        <f t="shared" si="140"/>
        <v>1661</v>
      </c>
      <c r="AC116" s="86">
        <f t="shared" si="140"/>
        <v>0</v>
      </c>
      <c r="AD116" s="86">
        <f t="shared" si="140"/>
        <v>0</v>
      </c>
      <c r="AE116" s="86">
        <f t="shared" si="140"/>
        <v>0</v>
      </c>
      <c r="AF116" s="86">
        <f t="shared" si="140"/>
        <v>0</v>
      </c>
      <c r="AG116" s="86">
        <f t="shared" si="140"/>
        <v>0</v>
      </c>
      <c r="AH116" s="86">
        <f t="shared" si="140"/>
        <v>0</v>
      </c>
      <c r="AI116" s="86">
        <f t="shared" si="140"/>
        <v>1661</v>
      </c>
      <c r="AJ116" s="86">
        <f t="shared" si="140"/>
        <v>0</v>
      </c>
      <c r="AK116" s="86">
        <f>AK117</f>
        <v>0</v>
      </c>
      <c r="AL116" s="86">
        <f>AL117</f>
        <v>1661</v>
      </c>
      <c r="AM116" s="86">
        <f aca="true" t="shared" si="141" ref="AM116:BX116">AM117</f>
        <v>0</v>
      </c>
      <c r="AN116" s="86">
        <f t="shared" si="141"/>
        <v>0</v>
      </c>
      <c r="AO116" s="86">
        <f t="shared" si="141"/>
        <v>0</v>
      </c>
      <c r="AP116" s="86">
        <f t="shared" si="141"/>
        <v>0</v>
      </c>
      <c r="AQ116" s="86">
        <f t="shared" si="141"/>
        <v>0</v>
      </c>
      <c r="AR116" s="86">
        <f t="shared" si="141"/>
        <v>1661</v>
      </c>
      <c r="AS116" s="86">
        <f t="shared" si="141"/>
        <v>0</v>
      </c>
      <c r="AT116" s="87">
        <f t="shared" si="141"/>
        <v>0</v>
      </c>
      <c r="AU116" s="87">
        <f t="shared" si="141"/>
        <v>0</v>
      </c>
      <c r="AV116" s="87">
        <f t="shared" si="141"/>
        <v>0</v>
      </c>
      <c r="AW116" s="87">
        <f t="shared" si="141"/>
        <v>1661</v>
      </c>
      <c r="AX116" s="87">
        <f t="shared" si="141"/>
        <v>0</v>
      </c>
      <c r="AY116" s="86">
        <f t="shared" si="141"/>
        <v>-30</v>
      </c>
      <c r="AZ116" s="86">
        <f t="shared" si="141"/>
        <v>0</v>
      </c>
      <c r="BA116" s="86">
        <f t="shared" si="141"/>
        <v>0</v>
      </c>
      <c r="BB116" s="86">
        <f t="shared" si="141"/>
        <v>0</v>
      </c>
      <c r="BC116" s="86">
        <f t="shared" si="141"/>
        <v>0</v>
      </c>
      <c r="BD116" s="86">
        <f t="shared" si="141"/>
        <v>1631</v>
      </c>
      <c r="BE116" s="86">
        <f t="shared" si="141"/>
        <v>0</v>
      </c>
      <c r="BF116" s="86">
        <f t="shared" si="141"/>
        <v>0</v>
      </c>
      <c r="BG116" s="86">
        <f t="shared" si="141"/>
        <v>0</v>
      </c>
      <c r="BH116" s="86">
        <f t="shared" si="141"/>
        <v>0</v>
      </c>
      <c r="BI116" s="86">
        <f t="shared" si="141"/>
        <v>1631</v>
      </c>
      <c r="BJ116" s="86">
        <f t="shared" si="141"/>
        <v>0</v>
      </c>
      <c r="BK116" s="86">
        <f t="shared" si="141"/>
        <v>0</v>
      </c>
      <c r="BL116" s="86">
        <f t="shared" si="141"/>
        <v>0</v>
      </c>
      <c r="BM116" s="86">
        <f t="shared" si="141"/>
        <v>0</v>
      </c>
      <c r="BN116" s="86">
        <f t="shared" si="141"/>
        <v>0</v>
      </c>
      <c r="BO116" s="86">
        <f t="shared" si="141"/>
        <v>1631</v>
      </c>
      <c r="BP116" s="86">
        <f t="shared" si="141"/>
        <v>0</v>
      </c>
      <c r="BQ116" s="86">
        <f t="shared" si="141"/>
        <v>0</v>
      </c>
      <c r="BR116" s="86"/>
      <c r="BS116" s="86">
        <f t="shared" si="141"/>
        <v>0</v>
      </c>
      <c r="BT116" s="86">
        <f t="shared" si="141"/>
        <v>0</v>
      </c>
      <c r="BU116" s="86">
        <f t="shared" si="141"/>
        <v>1631</v>
      </c>
      <c r="BV116" s="86">
        <f t="shared" si="141"/>
        <v>0</v>
      </c>
      <c r="BW116" s="86">
        <f t="shared" si="141"/>
        <v>1607</v>
      </c>
      <c r="BX116" s="86">
        <f t="shared" si="141"/>
        <v>0</v>
      </c>
      <c r="BY116" s="71">
        <f>BW116/BU116*100</f>
        <v>98.52851011649295</v>
      </c>
      <c r="BZ116" s="72"/>
    </row>
    <row r="117" spans="1:78" s="12" customFormat="1" ht="38.25" customHeight="1" hidden="1">
      <c r="A117" s="88" t="s">
        <v>212</v>
      </c>
      <c r="B117" s="89" t="s">
        <v>135</v>
      </c>
      <c r="C117" s="89" t="s">
        <v>140</v>
      </c>
      <c r="D117" s="90" t="s">
        <v>210</v>
      </c>
      <c r="E117" s="89"/>
      <c r="F117" s="91">
        <f t="shared" si="139"/>
        <v>1404</v>
      </c>
      <c r="G117" s="91">
        <f t="shared" si="139"/>
        <v>257</v>
      </c>
      <c r="H117" s="91">
        <f t="shared" si="139"/>
        <v>1661</v>
      </c>
      <c r="I117" s="91">
        <f t="shared" si="139"/>
        <v>0</v>
      </c>
      <c r="J117" s="91">
        <f t="shared" si="139"/>
        <v>0</v>
      </c>
      <c r="K117" s="91">
        <f t="shared" si="139"/>
        <v>0</v>
      </c>
      <c r="L117" s="91">
        <f t="shared" si="139"/>
        <v>0</v>
      </c>
      <c r="M117" s="91">
        <f t="shared" si="139"/>
        <v>1661</v>
      </c>
      <c r="N117" s="91">
        <f t="shared" si="139"/>
        <v>0</v>
      </c>
      <c r="O117" s="91">
        <f t="shared" si="139"/>
        <v>0</v>
      </c>
      <c r="P117" s="91"/>
      <c r="Q117" s="91">
        <f t="shared" si="139"/>
        <v>0</v>
      </c>
      <c r="R117" s="91">
        <f t="shared" si="139"/>
        <v>0</v>
      </c>
      <c r="S117" s="91">
        <f t="shared" si="139"/>
        <v>1661</v>
      </c>
      <c r="T117" s="91">
        <f t="shared" si="140"/>
        <v>0</v>
      </c>
      <c r="U117" s="91">
        <f t="shared" si="140"/>
        <v>0</v>
      </c>
      <c r="V117" s="91">
        <f t="shared" si="140"/>
        <v>0</v>
      </c>
      <c r="W117" s="91">
        <f t="shared" si="140"/>
        <v>0</v>
      </c>
      <c r="X117" s="91">
        <f t="shared" si="140"/>
        <v>0</v>
      </c>
      <c r="Y117" s="91">
        <f t="shared" si="140"/>
        <v>0</v>
      </c>
      <c r="Z117" s="91">
        <f t="shared" si="140"/>
        <v>0</v>
      </c>
      <c r="AA117" s="91">
        <f t="shared" si="140"/>
        <v>0</v>
      </c>
      <c r="AB117" s="91">
        <f t="shared" si="140"/>
        <v>1661</v>
      </c>
      <c r="AC117" s="91">
        <f aca="true" t="shared" si="142" ref="AC117:BX117">AC118</f>
        <v>0</v>
      </c>
      <c r="AD117" s="91">
        <f t="shared" si="142"/>
        <v>0</v>
      </c>
      <c r="AE117" s="91">
        <f t="shared" si="142"/>
        <v>0</v>
      </c>
      <c r="AF117" s="91">
        <f t="shared" si="142"/>
        <v>0</v>
      </c>
      <c r="AG117" s="91">
        <f t="shared" si="142"/>
        <v>0</v>
      </c>
      <c r="AH117" s="91">
        <f t="shared" si="142"/>
        <v>0</v>
      </c>
      <c r="AI117" s="91">
        <f t="shared" si="142"/>
        <v>1661</v>
      </c>
      <c r="AJ117" s="91">
        <f t="shared" si="142"/>
        <v>0</v>
      </c>
      <c r="AK117" s="91">
        <f t="shared" si="142"/>
        <v>0</v>
      </c>
      <c r="AL117" s="91">
        <f t="shared" si="142"/>
        <v>1661</v>
      </c>
      <c r="AM117" s="91">
        <f t="shared" si="142"/>
        <v>0</v>
      </c>
      <c r="AN117" s="91">
        <f t="shared" si="142"/>
        <v>0</v>
      </c>
      <c r="AO117" s="91">
        <f t="shared" si="142"/>
        <v>0</v>
      </c>
      <c r="AP117" s="91">
        <f t="shared" si="142"/>
        <v>0</v>
      </c>
      <c r="AQ117" s="91">
        <f t="shared" si="142"/>
        <v>0</v>
      </c>
      <c r="AR117" s="91">
        <f t="shared" si="142"/>
        <v>1661</v>
      </c>
      <c r="AS117" s="91">
        <f t="shared" si="142"/>
        <v>0</v>
      </c>
      <c r="AT117" s="92">
        <f t="shared" si="142"/>
        <v>0</v>
      </c>
      <c r="AU117" s="92">
        <f t="shared" si="142"/>
        <v>0</v>
      </c>
      <c r="AV117" s="92">
        <f t="shared" si="142"/>
        <v>0</v>
      </c>
      <c r="AW117" s="92">
        <f t="shared" si="142"/>
        <v>1661</v>
      </c>
      <c r="AX117" s="92">
        <f t="shared" si="142"/>
        <v>0</v>
      </c>
      <c r="AY117" s="91">
        <f t="shared" si="142"/>
        <v>-30</v>
      </c>
      <c r="AZ117" s="91">
        <f t="shared" si="142"/>
        <v>0</v>
      </c>
      <c r="BA117" s="91">
        <f t="shared" si="142"/>
        <v>0</v>
      </c>
      <c r="BB117" s="91">
        <f t="shared" si="142"/>
        <v>0</v>
      </c>
      <c r="BC117" s="91">
        <f t="shared" si="142"/>
        <v>0</v>
      </c>
      <c r="BD117" s="91">
        <f t="shared" si="142"/>
        <v>1631</v>
      </c>
      <c r="BE117" s="91">
        <f t="shared" si="142"/>
        <v>0</v>
      </c>
      <c r="BF117" s="91">
        <f t="shared" si="142"/>
        <v>0</v>
      </c>
      <c r="BG117" s="91">
        <f t="shared" si="142"/>
        <v>0</v>
      </c>
      <c r="BH117" s="91">
        <f t="shared" si="142"/>
        <v>0</v>
      </c>
      <c r="BI117" s="91">
        <f t="shared" si="142"/>
        <v>1631</v>
      </c>
      <c r="BJ117" s="91">
        <f t="shared" si="142"/>
        <v>0</v>
      </c>
      <c r="BK117" s="91">
        <f t="shared" si="142"/>
        <v>0</v>
      </c>
      <c r="BL117" s="91">
        <f t="shared" si="142"/>
        <v>0</v>
      </c>
      <c r="BM117" s="91">
        <f t="shared" si="142"/>
        <v>0</v>
      </c>
      <c r="BN117" s="91">
        <f t="shared" si="142"/>
        <v>0</v>
      </c>
      <c r="BO117" s="91">
        <f t="shared" si="142"/>
        <v>1631</v>
      </c>
      <c r="BP117" s="91">
        <f t="shared" si="142"/>
        <v>0</v>
      </c>
      <c r="BQ117" s="91">
        <f t="shared" si="142"/>
        <v>0</v>
      </c>
      <c r="BR117" s="91"/>
      <c r="BS117" s="91">
        <f t="shared" si="142"/>
        <v>0</v>
      </c>
      <c r="BT117" s="91">
        <f t="shared" si="142"/>
        <v>0</v>
      </c>
      <c r="BU117" s="91">
        <f t="shared" si="142"/>
        <v>1631</v>
      </c>
      <c r="BV117" s="91">
        <f t="shared" si="142"/>
        <v>0</v>
      </c>
      <c r="BW117" s="91">
        <f t="shared" si="142"/>
        <v>1607</v>
      </c>
      <c r="BX117" s="91">
        <f t="shared" si="142"/>
        <v>0</v>
      </c>
      <c r="BY117" s="77">
        <f>BW117/BU117*100</f>
        <v>98.52851011649295</v>
      </c>
      <c r="BZ117" s="72"/>
    </row>
    <row r="118" spans="1:78" s="12" customFormat="1" ht="33.75" customHeight="1" hidden="1">
      <c r="A118" s="88" t="s">
        <v>129</v>
      </c>
      <c r="B118" s="89" t="s">
        <v>135</v>
      </c>
      <c r="C118" s="89" t="s">
        <v>140</v>
      </c>
      <c r="D118" s="90" t="s">
        <v>210</v>
      </c>
      <c r="E118" s="89" t="s">
        <v>130</v>
      </c>
      <c r="F118" s="75">
        <v>1404</v>
      </c>
      <c r="G118" s="75">
        <f>H118-F118</f>
        <v>257</v>
      </c>
      <c r="H118" s="75">
        <v>1661</v>
      </c>
      <c r="I118" s="69"/>
      <c r="J118" s="69"/>
      <c r="K118" s="69"/>
      <c r="L118" s="69"/>
      <c r="M118" s="75">
        <f>H118+J118+K118+L118</f>
        <v>1661</v>
      </c>
      <c r="N118" s="78">
        <f>I118+L118</f>
        <v>0</v>
      </c>
      <c r="O118" s="69"/>
      <c r="P118" s="69"/>
      <c r="Q118" s="106"/>
      <c r="R118" s="106"/>
      <c r="S118" s="75">
        <f>M118+O118+P118+Q118+R118</f>
        <v>1661</v>
      </c>
      <c r="T118" s="75">
        <f>N118+R118</f>
        <v>0</v>
      </c>
      <c r="U118" s="106"/>
      <c r="V118" s="106"/>
      <c r="W118" s="106"/>
      <c r="X118" s="106"/>
      <c r="Y118" s="106"/>
      <c r="Z118" s="106"/>
      <c r="AA118" s="106"/>
      <c r="AB118" s="75">
        <f>S118+U118+V118+W118+X118+Y118+Z118+AA118</f>
        <v>1661</v>
      </c>
      <c r="AC118" s="80">
        <f>T118+Z118+AA118</f>
        <v>0</v>
      </c>
      <c r="AD118" s="107"/>
      <c r="AE118" s="107"/>
      <c r="AF118" s="69"/>
      <c r="AG118" s="107"/>
      <c r="AH118" s="107"/>
      <c r="AI118" s="75">
        <f>AB118+AD118+AE118+AF118+AG118+AH118</f>
        <v>1661</v>
      </c>
      <c r="AJ118" s="75">
        <f>AC118+AH118</f>
        <v>0</v>
      </c>
      <c r="AK118" s="106"/>
      <c r="AL118" s="75">
        <f>AI118+AK118</f>
        <v>1661</v>
      </c>
      <c r="AM118" s="75">
        <f>AJ118</f>
        <v>0</v>
      </c>
      <c r="AN118" s="106"/>
      <c r="AO118" s="106"/>
      <c r="AP118" s="106"/>
      <c r="AQ118" s="106"/>
      <c r="AR118" s="75">
        <f>AL118+AN118+AO118+AP118+AQ118</f>
        <v>1661</v>
      </c>
      <c r="AS118" s="75">
        <f>AM118+AQ118</f>
        <v>0</v>
      </c>
      <c r="AT118" s="108"/>
      <c r="AU118" s="108"/>
      <c r="AV118" s="108"/>
      <c r="AW118" s="76">
        <f>AV118+AU118+AT118+AR118</f>
        <v>1661</v>
      </c>
      <c r="AX118" s="76">
        <f>AV118+AS118</f>
        <v>0</v>
      </c>
      <c r="AY118" s="75">
        <v>-30</v>
      </c>
      <c r="AZ118" s="69"/>
      <c r="BA118" s="69"/>
      <c r="BB118" s="69"/>
      <c r="BC118" s="69"/>
      <c r="BD118" s="75">
        <f>AW118+AY118+AZ118+BA118+BB118+BC118</f>
        <v>1631</v>
      </c>
      <c r="BE118" s="75">
        <f>AX118+BC118</f>
        <v>0</v>
      </c>
      <c r="BF118" s="106"/>
      <c r="BG118" s="106"/>
      <c r="BH118" s="106"/>
      <c r="BI118" s="75">
        <f>BD118+BF118+BG118+BH118</f>
        <v>1631</v>
      </c>
      <c r="BJ118" s="75">
        <f>BE118+BH118</f>
        <v>0</v>
      </c>
      <c r="BK118" s="109"/>
      <c r="BL118" s="109"/>
      <c r="BM118" s="109"/>
      <c r="BN118" s="109"/>
      <c r="BO118" s="75">
        <f>BI118+BK118+BL118+BM118+BN118</f>
        <v>1631</v>
      </c>
      <c r="BP118" s="75">
        <f>BJ118+BN118</f>
        <v>0</v>
      </c>
      <c r="BQ118" s="106"/>
      <c r="BR118" s="106"/>
      <c r="BS118" s="106"/>
      <c r="BT118" s="106"/>
      <c r="BU118" s="75">
        <f>BO118+BQ118+BS118+BT118</f>
        <v>1631</v>
      </c>
      <c r="BV118" s="75">
        <f>BP118+BT118</f>
        <v>0</v>
      </c>
      <c r="BW118" s="75">
        <v>1607</v>
      </c>
      <c r="BX118" s="75">
        <f>BR118+BV118</f>
        <v>0</v>
      </c>
      <c r="BY118" s="77">
        <f>BW118/BU118*100</f>
        <v>98.52851011649295</v>
      </c>
      <c r="BZ118" s="72"/>
    </row>
    <row r="119" spans="1:78" s="12" customFormat="1" ht="12.75" customHeight="1">
      <c r="A119" s="88"/>
      <c r="B119" s="89"/>
      <c r="C119" s="89"/>
      <c r="D119" s="90"/>
      <c r="E119" s="8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106"/>
      <c r="R119" s="106"/>
      <c r="S119" s="69"/>
      <c r="T119" s="69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7"/>
      <c r="AE119" s="107"/>
      <c r="AF119" s="69"/>
      <c r="AG119" s="107"/>
      <c r="AH119" s="107"/>
      <c r="AI119" s="107"/>
      <c r="AJ119" s="107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8"/>
      <c r="AU119" s="108"/>
      <c r="AV119" s="108"/>
      <c r="AW119" s="108"/>
      <c r="AX119" s="108"/>
      <c r="AY119" s="69"/>
      <c r="AZ119" s="69"/>
      <c r="BA119" s="69"/>
      <c r="BB119" s="69"/>
      <c r="BC119" s="69"/>
      <c r="BD119" s="109"/>
      <c r="BE119" s="109"/>
      <c r="BF119" s="106"/>
      <c r="BG119" s="106"/>
      <c r="BH119" s="106"/>
      <c r="BI119" s="106"/>
      <c r="BJ119" s="106"/>
      <c r="BK119" s="109"/>
      <c r="BL119" s="109"/>
      <c r="BM119" s="109"/>
      <c r="BN119" s="109"/>
      <c r="BO119" s="109"/>
      <c r="BP119" s="109"/>
      <c r="BQ119" s="106"/>
      <c r="BR119" s="106"/>
      <c r="BS119" s="106"/>
      <c r="BT119" s="106"/>
      <c r="BU119" s="106"/>
      <c r="BV119" s="106"/>
      <c r="BW119" s="106"/>
      <c r="BX119" s="106"/>
      <c r="BY119" s="72"/>
      <c r="BZ119" s="72"/>
    </row>
    <row r="120" spans="1:78" s="14" customFormat="1" ht="38.25" customHeight="1">
      <c r="A120" s="66" t="s">
        <v>43</v>
      </c>
      <c r="B120" s="67" t="s">
        <v>135</v>
      </c>
      <c r="C120" s="67" t="s">
        <v>142</v>
      </c>
      <c r="D120" s="85"/>
      <c r="E120" s="67"/>
      <c r="F120" s="86">
        <f>F121+F124+F126+F130+F134</f>
        <v>89401</v>
      </c>
      <c r="G120" s="86">
        <f>G121+G124+G126+G130+G134+G148</f>
        <v>-14382</v>
      </c>
      <c r="H120" s="86">
        <f>H121+H124+H126+H130+H134+H148</f>
        <v>75019</v>
      </c>
      <c r="I120" s="86">
        <f aca="true" t="shared" si="143" ref="I120:N120">I121+I124+I126+I130+I134+I148</f>
        <v>0</v>
      </c>
      <c r="J120" s="86">
        <f t="shared" si="143"/>
        <v>0</v>
      </c>
      <c r="K120" s="86">
        <f t="shared" si="143"/>
        <v>0</v>
      </c>
      <c r="L120" s="86">
        <f t="shared" si="143"/>
        <v>15938</v>
      </c>
      <c r="M120" s="86">
        <f t="shared" si="143"/>
        <v>90957</v>
      </c>
      <c r="N120" s="86">
        <f t="shared" si="143"/>
        <v>15938</v>
      </c>
      <c r="O120" s="86">
        <f>O121+O124+O126+O130+O134+O148</f>
        <v>0</v>
      </c>
      <c r="P120" s="86">
        <f>P121+P124+P126+P130+P134+P148</f>
        <v>0</v>
      </c>
      <c r="Q120" s="86">
        <f>Q121+Q124+Q126+Q130+Q134+Q148</f>
        <v>0</v>
      </c>
      <c r="R120" s="86">
        <f>R121+R124+R126+R130+R134+R148</f>
        <v>0</v>
      </c>
      <c r="S120" s="86">
        <f>S121+S124+S126+S130+S134+S148</f>
        <v>90957</v>
      </c>
      <c r="T120" s="86">
        <f aca="true" t="shared" si="144" ref="T120:AC120">T121+T124+T126+T130+T134+T148</f>
        <v>15938</v>
      </c>
      <c r="U120" s="86">
        <f t="shared" si="144"/>
        <v>0</v>
      </c>
      <c r="V120" s="86">
        <f t="shared" si="144"/>
        <v>0</v>
      </c>
      <c r="W120" s="86">
        <f t="shared" si="144"/>
        <v>0</v>
      </c>
      <c r="X120" s="86">
        <f t="shared" si="144"/>
        <v>0</v>
      </c>
      <c r="Y120" s="86">
        <f t="shared" si="144"/>
        <v>0</v>
      </c>
      <c r="Z120" s="86">
        <f t="shared" si="144"/>
        <v>0</v>
      </c>
      <c r="AA120" s="86">
        <f t="shared" si="144"/>
        <v>0</v>
      </c>
      <c r="AB120" s="86">
        <f t="shared" si="144"/>
        <v>90957</v>
      </c>
      <c r="AC120" s="86">
        <f t="shared" si="144"/>
        <v>15938</v>
      </c>
      <c r="AD120" s="86">
        <f aca="true" t="shared" si="145" ref="AD120:AM120">AD121+AD124+AD126+AD130+AD134+AD148</f>
        <v>0</v>
      </c>
      <c r="AE120" s="86">
        <f t="shared" si="145"/>
        <v>5</v>
      </c>
      <c r="AF120" s="86">
        <f t="shared" si="145"/>
        <v>8352</v>
      </c>
      <c r="AG120" s="86">
        <f t="shared" si="145"/>
        <v>0</v>
      </c>
      <c r="AH120" s="86">
        <f t="shared" si="145"/>
        <v>0</v>
      </c>
      <c r="AI120" s="86">
        <f t="shared" si="145"/>
        <v>99314</v>
      </c>
      <c r="AJ120" s="86">
        <f t="shared" si="145"/>
        <v>15938</v>
      </c>
      <c r="AK120" s="86">
        <f t="shared" si="145"/>
        <v>0</v>
      </c>
      <c r="AL120" s="86">
        <f t="shared" si="145"/>
        <v>99314</v>
      </c>
      <c r="AM120" s="86">
        <f t="shared" si="145"/>
        <v>15938</v>
      </c>
      <c r="AN120" s="86">
        <f aca="true" t="shared" si="146" ref="AN120:AS120">AN121+AN124+AN126+AN130+AN134+AN148</f>
        <v>0</v>
      </c>
      <c r="AO120" s="86">
        <f t="shared" si="146"/>
        <v>8</v>
      </c>
      <c r="AP120" s="86">
        <f t="shared" si="146"/>
        <v>0</v>
      </c>
      <c r="AQ120" s="86">
        <f t="shared" si="146"/>
        <v>15000</v>
      </c>
      <c r="AR120" s="86">
        <f t="shared" si="146"/>
        <v>114322</v>
      </c>
      <c r="AS120" s="86">
        <f t="shared" si="146"/>
        <v>30938</v>
      </c>
      <c r="AT120" s="87">
        <f aca="true" t="shared" si="147" ref="AT120:BE120">AT121+AT124+AT126+AT130+AT134+AT148</f>
        <v>2278</v>
      </c>
      <c r="AU120" s="87">
        <f t="shared" si="147"/>
        <v>-266</v>
      </c>
      <c r="AV120" s="87">
        <f t="shared" si="147"/>
        <v>0</v>
      </c>
      <c r="AW120" s="87">
        <f t="shared" si="147"/>
        <v>116334</v>
      </c>
      <c r="AX120" s="87">
        <f t="shared" si="147"/>
        <v>30938</v>
      </c>
      <c r="AY120" s="86">
        <f t="shared" si="147"/>
        <v>-17691</v>
      </c>
      <c r="AZ120" s="86">
        <f t="shared" si="147"/>
        <v>0</v>
      </c>
      <c r="BA120" s="86">
        <f t="shared" si="147"/>
        <v>500</v>
      </c>
      <c r="BB120" s="86">
        <f t="shared" si="147"/>
        <v>0</v>
      </c>
      <c r="BC120" s="86">
        <f t="shared" si="147"/>
        <v>0</v>
      </c>
      <c r="BD120" s="86">
        <f t="shared" si="147"/>
        <v>99143</v>
      </c>
      <c r="BE120" s="86">
        <f t="shared" si="147"/>
        <v>30938</v>
      </c>
      <c r="BF120" s="86">
        <f>BF121+BF124+BF126+BF130+BF134+BF148</f>
        <v>0</v>
      </c>
      <c r="BG120" s="86">
        <f>BG121+BG124+BG126+BG130+BG134+BG148</f>
        <v>0</v>
      </c>
      <c r="BH120" s="86">
        <f>BH121+BH124+BH126+BH130+BH134+BH148</f>
        <v>0</v>
      </c>
      <c r="BI120" s="86">
        <f>BI121+BI124+BI126+BI130+BI134+BI148</f>
        <v>99143</v>
      </c>
      <c r="BJ120" s="86">
        <f>BJ121+BJ124+BJ126+BJ130+BJ134+BJ148</f>
        <v>30938</v>
      </c>
      <c r="BK120" s="86">
        <f aca="true" t="shared" si="148" ref="BK120:BP120">BK121+BK124+BK126+BK130+BK134+BK148</f>
        <v>4</v>
      </c>
      <c r="BL120" s="86">
        <f t="shared" si="148"/>
        <v>0</v>
      </c>
      <c r="BM120" s="86">
        <f t="shared" si="148"/>
        <v>2350</v>
      </c>
      <c r="BN120" s="86">
        <f t="shared" si="148"/>
        <v>0</v>
      </c>
      <c r="BO120" s="86">
        <f t="shared" si="148"/>
        <v>101497</v>
      </c>
      <c r="BP120" s="86">
        <f t="shared" si="148"/>
        <v>30938</v>
      </c>
      <c r="BQ120" s="86">
        <f>BQ121+BQ124+BQ126+BQ130+BQ134+BQ148</f>
        <v>-65</v>
      </c>
      <c r="BR120" s="86"/>
      <c r="BS120" s="86">
        <f>BS121+BS124+BS126+BS130+BS134+BS148</f>
        <v>14276</v>
      </c>
      <c r="BT120" s="86">
        <f>BT121+BT124+BT126+BT130+BT134+BT148</f>
        <v>8376</v>
      </c>
      <c r="BU120" s="86">
        <f>BU121+BU124+BU126+BU130+BU134+BU148</f>
        <v>124084</v>
      </c>
      <c r="BV120" s="86">
        <f>BV121+BV124+BV126+BV130+BV134+BV148</f>
        <v>39314</v>
      </c>
      <c r="BW120" s="86">
        <f>BW121+BW124+BW126+BW130+BW134+BW148+BW141</f>
        <v>121203</v>
      </c>
      <c r="BX120" s="86">
        <f>BX121+BX124+BX126+BX130+BX134+BX148+BX141</f>
        <v>38926</v>
      </c>
      <c r="BY120" s="71">
        <f>BW120/BU120*100</f>
        <v>97.67818574514038</v>
      </c>
      <c r="BZ120" s="71">
        <f>BX120/BV120*100</f>
        <v>99.01307422292314</v>
      </c>
    </row>
    <row r="121" spans="1:78" s="13" customFormat="1" ht="88.5" customHeight="1" hidden="1">
      <c r="A121" s="88" t="s">
        <v>133</v>
      </c>
      <c r="B121" s="89" t="s">
        <v>135</v>
      </c>
      <c r="C121" s="89" t="s">
        <v>142</v>
      </c>
      <c r="D121" s="90" t="s">
        <v>124</v>
      </c>
      <c r="E121" s="127"/>
      <c r="F121" s="91">
        <f>F122+F123</f>
        <v>46865</v>
      </c>
      <c r="G121" s="91">
        <f>G122+G123</f>
        <v>816</v>
      </c>
      <c r="H121" s="91">
        <f>H122+H123</f>
        <v>47681</v>
      </c>
      <c r="I121" s="91">
        <f aca="true" t="shared" si="149" ref="I121:N121">I122+I123</f>
        <v>0</v>
      </c>
      <c r="J121" s="91">
        <f t="shared" si="149"/>
        <v>0</v>
      </c>
      <c r="K121" s="91">
        <f t="shared" si="149"/>
        <v>0</v>
      </c>
      <c r="L121" s="91">
        <f t="shared" si="149"/>
        <v>0</v>
      </c>
      <c r="M121" s="91">
        <f t="shared" si="149"/>
        <v>47681</v>
      </c>
      <c r="N121" s="91">
        <f t="shared" si="149"/>
        <v>0</v>
      </c>
      <c r="O121" s="91">
        <f>O122+O123</f>
        <v>0</v>
      </c>
      <c r="P121" s="91"/>
      <c r="Q121" s="91">
        <f>Q122+Q123</f>
        <v>0</v>
      </c>
      <c r="R121" s="91">
        <f>R122+R123</f>
        <v>0</v>
      </c>
      <c r="S121" s="91">
        <f>S122+S123</f>
        <v>47681</v>
      </c>
      <c r="T121" s="91">
        <f aca="true" t="shared" si="150" ref="T121:AC121">T122+T123</f>
        <v>0</v>
      </c>
      <c r="U121" s="91">
        <f t="shared" si="150"/>
        <v>0</v>
      </c>
      <c r="V121" s="91">
        <f t="shared" si="150"/>
        <v>0</v>
      </c>
      <c r="W121" s="91">
        <f t="shared" si="150"/>
        <v>0</v>
      </c>
      <c r="X121" s="91">
        <f t="shared" si="150"/>
        <v>0</v>
      </c>
      <c r="Y121" s="91">
        <f t="shared" si="150"/>
        <v>0</v>
      </c>
      <c r="Z121" s="91">
        <f t="shared" si="150"/>
        <v>0</v>
      </c>
      <c r="AA121" s="91">
        <f t="shared" si="150"/>
        <v>0</v>
      </c>
      <c r="AB121" s="91">
        <f t="shared" si="150"/>
        <v>47681</v>
      </c>
      <c r="AC121" s="91">
        <f t="shared" si="150"/>
        <v>0</v>
      </c>
      <c r="AD121" s="91">
        <f aca="true" t="shared" si="151" ref="AD121:AM121">AD122+AD123</f>
        <v>0</v>
      </c>
      <c r="AE121" s="91">
        <f t="shared" si="151"/>
        <v>0</v>
      </c>
      <c r="AF121" s="91">
        <f t="shared" si="151"/>
        <v>0</v>
      </c>
      <c r="AG121" s="91">
        <f t="shared" si="151"/>
        <v>0</v>
      </c>
      <c r="AH121" s="91">
        <f t="shared" si="151"/>
        <v>0</v>
      </c>
      <c r="AI121" s="91">
        <f t="shared" si="151"/>
        <v>47681</v>
      </c>
      <c r="AJ121" s="91">
        <f t="shared" si="151"/>
        <v>0</v>
      </c>
      <c r="AK121" s="91">
        <f t="shared" si="151"/>
        <v>0</v>
      </c>
      <c r="AL121" s="91">
        <f t="shared" si="151"/>
        <v>47681</v>
      </c>
      <c r="AM121" s="91">
        <f t="shared" si="151"/>
        <v>0</v>
      </c>
      <c r="AN121" s="91">
        <f aca="true" t="shared" si="152" ref="AN121:AS121">AN122+AN123</f>
        <v>0</v>
      </c>
      <c r="AO121" s="91">
        <f t="shared" si="152"/>
        <v>0</v>
      </c>
      <c r="AP121" s="91">
        <f t="shared" si="152"/>
        <v>0</v>
      </c>
      <c r="AQ121" s="91">
        <f t="shared" si="152"/>
        <v>0</v>
      </c>
      <c r="AR121" s="91">
        <f t="shared" si="152"/>
        <v>47681</v>
      </c>
      <c r="AS121" s="91">
        <f t="shared" si="152"/>
        <v>0</v>
      </c>
      <c r="AT121" s="92">
        <f aca="true" t="shared" si="153" ref="AT121:BE121">AT122+AT123</f>
        <v>2136</v>
      </c>
      <c r="AU121" s="92">
        <f t="shared" si="153"/>
        <v>0</v>
      </c>
      <c r="AV121" s="92">
        <f t="shared" si="153"/>
        <v>0</v>
      </c>
      <c r="AW121" s="92">
        <f t="shared" si="153"/>
        <v>49817</v>
      </c>
      <c r="AX121" s="92">
        <f t="shared" si="153"/>
        <v>0</v>
      </c>
      <c r="AY121" s="91">
        <f t="shared" si="153"/>
        <v>0</v>
      </c>
      <c r="AZ121" s="91">
        <f t="shared" si="153"/>
        <v>0</v>
      </c>
      <c r="BA121" s="91">
        <f t="shared" si="153"/>
        <v>0</v>
      </c>
      <c r="BB121" s="91">
        <f t="shared" si="153"/>
        <v>0</v>
      </c>
      <c r="BC121" s="91">
        <f t="shared" si="153"/>
        <v>0</v>
      </c>
      <c r="BD121" s="91">
        <f t="shared" si="153"/>
        <v>49817</v>
      </c>
      <c r="BE121" s="91">
        <f t="shared" si="153"/>
        <v>0</v>
      </c>
      <c r="BF121" s="91">
        <f>BF122+BF123</f>
        <v>0</v>
      </c>
      <c r="BG121" s="91">
        <f>BG122+BG123</f>
        <v>0</v>
      </c>
      <c r="BH121" s="91">
        <f>BH122+BH123</f>
        <v>0</v>
      </c>
      <c r="BI121" s="91">
        <f>BI122+BI123</f>
        <v>49817</v>
      </c>
      <c r="BJ121" s="91">
        <f>BJ122+BJ123</f>
        <v>0</v>
      </c>
      <c r="BK121" s="91">
        <f aca="true" t="shared" si="154" ref="BK121:BP121">BK122+BK123</f>
        <v>0</v>
      </c>
      <c r="BL121" s="91">
        <f t="shared" si="154"/>
        <v>0</v>
      </c>
      <c r="BM121" s="91">
        <f t="shared" si="154"/>
        <v>0</v>
      </c>
      <c r="BN121" s="91">
        <f t="shared" si="154"/>
        <v>0</v>
      </c>
      <c r="BO121" s="91">
        <f t="shared" si="154"/>
        <v>49817</v>
      </c>
      <c r="BP121" s="91">
        <f t="shared" si="154"/>
        <v>0</v>
      </c>
      <c r="BQ121" s="91">
        <f>BQ122+BQ123</f>
        <v>0</v>
      </c>
      <c r="BR121" s="91"/>
      <c r="BS121" s="91">
        <f aca="true" t="shared" si="155" ref="BS121:BX121">BS122+BS123</f>
        <v>12950</v>
      </c>
      <c r="BT121" s="91">
        <f t="shared" si="155"/>
        <v>0</v>
      </c>
      <c r="BU121" s="91">
        <f t="shared" si="155"/>
        <v>62767</v>
      </c>
      <c r="BV121" s="91">
        <f t="shared" si="155"/>
        <v>0</v>
      </c>
      <c r="BW121" s="91">
        <f t="shared" si="155"/>
        <v>62766</v>
      </c>
      <c r="BX121" s="91">
        <f t="shared" si="155"/>
        <v>0</v>
      </c>
      <c r="BY121" s="77">
        <f aca="true" t="shared" si="156" ref="BY121:BY137">BW121/BU121*100</f>
        <v>99.99840680612424</v>
      </c>
      <c r="BZ121" s="60"/>
    </row>
    <row r="122" spans="1:78" s="13" customFormat="1" ht="69.75" customHeight="1" hidden="1">
      <c r="A122" s="88" t="s">
        <v>361</v>
      </c>
      <c r="B122" s="89" t="s">
        <v>135</v>
      </c>
      <c r="C122" s="89" t="s">
        <v>142</v>
      </c>
      <c r="D122" s="90" t="s">
        <v>124</v>
      </c>
      <c r="E122" s="89" t="s">
        <v>139</v>
      </c>
      <c r="F122" s="91">
        <v>46865</v>
      </c>
      <c r="G122" s="75">
        <f>H122-F122</f>
        <v>-46865</v>
      </c>
      <c r="H122" s="114"/>
      <c r="I122" s="114"/>
      <c r="J122" s="114"/>
      <c r="K122" s="114"/>
      <c r="L122" s="114"/>
      <c r="M122" s="75">
        <f>H122+J122+K122+L122</f>
        <v>0</v>
      </c>
      <c r="N122" s="78">
        <f>I122+L122</f>
        <v>0</v>
      </c>
      <c r="O122" s="114"/>
      <c r="P122" s="114"/>
      <c r="Q122" s="112"/>
      <c r="R122" s="112"/>
      <c r="S122" s="114"/>
      <c r="T122" s="114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3"/>
      <c r="AE122" s="113"/>
      <c r="AF122" s="114"/>
      <c r="AG122" s="113"/>
      <c r="AH122" s="113"/>
      <c r="AI122" s="113"/>
      <c r="AJ122" s="113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5"/>
      <c r="AU122" s="115"/>
      <c r="AV122" s="115"/>
      <c r="AW122" s="115"/>
      <c r="AX122" s="115"/>
      <c r="AY122" s="114"/>
      <c r="AZ122" s="114"/>
      <c r="BA122" s="114"/>
      <c r="BB122" s="114"/>
      <c r="BC122" s="114"/>
      <c r="BD122" s="116"/>
      <c r="BE122" s="116"/>
      <c r="BF122" s="112"/>
      <c r="BG122" s="112"/>
      <c r="BH122" s="112"/>
      <c r="BI122" s="112"/>
      <c r="BJ122" s="112"/>
      <c r="BK122" s="116"/>
      <c r="BL122" s="116"/>
      <c r="BM122" s="116"/>
      <c r="BN122" s="116"/>
      <c r="BO122" s="116"/>
      <c r="BP122" s="116"/>
      <c r="BQ122" s="112"/>
      <c r="BR122" s="112"/>
      <c r="BS122" s="112"/>
      <c r="BT122" s="112"/>
      <c r="BU122" s="112"/>
      <c r="BV122" s="112"/>
      <c r="BW122" s="112"/>
      <c r="BX122" s="112"/>
      <c r="BY122" s="77" t="e">
        <f t="shared" si="156"/>
        <v>#DIV/0!</v>
      </c>
      <c r="BZ122" s="60"/>
    </row>
    <row r="123" spans="1:78" s="13" customFormat="1" ht="40.5" customHeight="1" hidden="1">
      <c r="A123" s="88" t="s">
        <v>258</v>
      </c>
      <c r="B123" s="89" t="s">
        <v>135</v>
      </c>
      <c r="C123" s="89" t="s">
        <v>142</v>
      </c>
      <c r="D123" s="90" t="s">
        <v>124</v>
      </c>
      <c r="E123" s="89" t="s">
        <v>257</v>
      </c>
      <c r="F123" s="91"/>
      <c r="G123" s="75">
        <f>H123-F123</f>
        <v>47681</v>
      </c>
      <c r="H123" s="75">
        <v>47681</v>
      </c>
      <c r="I123" s="114"/>
      <c r="J123" s="114"/>
      <c r="K123" s="114"/>
      <c r="L123" s="114"/>
      <c r="M123" s="75">
        <f>H123+J123+K123+L123</f>
        <v>47681</v>
      </c>
      <c r="N123" s="78">
        <f>I123+L123</f>
        <v>0</v>
      </c>
      <c r="O123" s="114"/>
      <c r="P123" s="114"/>
      <c r="Q123" s="112"/>
      <c r="R123" s="112"/>
      <c r="S123" s="75">
        <f>M123+O123+P123+Q123+R123</f>
        <v>47681</v>
      </c>
      <c r="T123" s="75">
        <f>N123+R123</f>
        <v>0</v>
      </c>
      <c r="U123" s="112"/>
      <c r="V123" s="112"/>
      <c r="W123" s="112"/>
      <c r="X123" s="112"/>
      <c r="Y123" s="112"/>
      <c r="Z123" s="112"/>
      <c r="AA123" s="112"/>
      <c r="AB123" s="75">
        <f>S123+U123+V123+W123+X123+Y123+Z123+AA123</f>
        <v>47681</v>
      </c>
      <c r="AC123" s="80">
        <f>T123+Z123+AA123</f>
        <v>0</v>
      </c>
      <c r="AD123" s="113"/>
      <c r="AE123" s="113"/>
      <c r="AF123" s="114"/>
      <c r="AG123" s="113"/>
      <c r="AH123" s="113"/>
      <c r="AI123" s="75">
        <f>AB123+AD123+AE123+AF123+AG123+AH123</f>
        <v>47681</v>
      </c>
      <c r="AJ123" s="75">
        <f>AC123+AH123</f>
        <v>0</v>
      </c>
      <c r="AK123" s="112"/>
      <c r="AL123" s="75">
        <f>AI123+AK123</f>
        <v>47681</v>
      </c>
      <c r="AM123" s="75">
        <f>AJ123</f>
        <v>0</v>
      </c>
      <c r="AN123" s="112"/>
      <c r="AO123" s="112"/>
      <c r="AP123" s="112"/>
      <c r="AQ123" s="112"/>
      <c r="AR123" s="75">
        <f>AL123+AN123+AO123+AP123+AQ123</f>
        <v>47681</v>
      </c>
      <c r="AS123" s="75">
        <f>AM123+AQ123</f>
        <v>0</v>
      </c>
      <c r="AT123" s="81">
        <v>2136</v>
      </c>
      <c r="AU123" s="81"/>
      <c r="AV123" s="81"/>
      <c r="AW123" s="76">
        <f>AV123+AU123+AT123+AR123</f>
        <v>49817</v>
      </c>
      <c r="AX123" s="76">
        <f>AV123+AS123</f>
        <v>0</v>
      </c>
      <c r="AY123" s="114"/>
      <c r="AZ123" s="114"/>
      <c r="BA123" s="114"/>
      <c r="BB123" s="114"/>
      <c r="BC123" s="114"/>
      <c r="BD123" s="75">
        <f>AW123+AY123+AZ123+BA123+BB123+BC123</f>
        <v>49817</v>
      </c>
      <c r="BE123" s="75">
        <f>AX123+BC123</f>
        <v>0</v>
      </c>
      <c r="BF123" s="112"/>
      <c r="BG123" s="112"/>
      <c r="BH123" s="112"/>
      <c r="BI123" s="75">
        <f>BD123+BF123+BG123+BH123</f>
        <v>49817</v>
      </c>
      <c r="BJ123" s="75">
        <f>BE123+BH123</f>
        <v>0</v>
      </c>
      <c r="BK123" s="116"/>
      <c r="BL123" s="116"/>
      <c r="BM123" s="116"/>
      <c r="BN123" s="116"/>
      <c r="BO123" s="75">
        <f>BI123+BK123+BL123+BM123+BN123</f>
        <v>49817</v>
      </c>
      <c r="BP123" s="75">
        <f>BJ123+BN123</f>
        <v>0</v>
      </c>
      <c r="BQ123" s="112"/>
      <c r="BR123" s="112"/>
      <c r="BS123" s="75">
        <v>12950</v>
      </c>
      <c r="BT123" s="112"/>
      <c r="BU123" s="75">
        <f>BO123+BQ123+BS123+BT123</f>
        <v>62767</v>
      </c>
      <c r="BV123" s="75">
        <f>BP123+BT123</f>
        <v>0</v>
      </c>
      <c r="BW123" s="75">
        <v>62766</v>
      </c>
      <c r="BX123" s="75">
        <f>BR123+BV123</f>
        <v>0</v>
      </c>
      <c r="BY123" s="77">
        <f t="shared" si="156"/>
        <v>99.99840680612424</v>
      </c>
      <c r="BZ123" s="60"/>
    </row>
    <row r="124" spans="1:78" s="14" customFormat="1" ht="50.25" hidden="1">
      <c r="A124" s="88" t="s">
        <v>152</v>
      </c>
      <c r="B124" s="89" t="s">
        <v>135</v>
      </c>
      <c r="C124" s="89" t="s">
        <v>142</v>
      </c>
      <c r="D124" s="90" t="s">
        <v>39</v>
      </c>
      <c r="E124" s="89"/>
      <c r="F124" s="91">
        <f>F125</f>
        <v>1289</v>
      </c>
      <c r="G124" s="91">
        <f>G125</f>
        <v>11</v>
      </c>
      <c r="H124" s="91">
        <f>H125</f>
        <v>1300</v>
      </c>
      <c r="I124" s="91">
        <f aca="true" t="shared" si="157" ref="I124:BW124">I125</f>
        <v>0</v>
      </c>
      <c r="J124" s="91">
        <f t="shared" si="157"/>
        <v>0</v>
      </c>
      <c r="K124" s="91">
        <f t="shared" si="157"/>
        <v>0</v>
      </c>
      <c r="L124" s="91">
        <f t="shared" si="157"/>
        <v>0</v>
      </c>
      <c r="M124" s="91">
        <f t="shared" si="157"/>
        <v>1300</v>
      </c>
      <c r="N124" s="91">
        <f t="shared" si="157"/>
        <v>0</v>
      </c>
      <c r="O124" s="91">
        <f t="shared" si="157"/>
        <v>0</v>
      </c>
      <c r="P124" s="91"/>
      <c r="Q124" s="91">
        <f t="shared" si="157"/>
        <v>0</v>
      </c>
      <c r="R124" s="91">
        <f t="shared" si="157"/>
        <v>0</v>
      </c>
      <c r="S124" s="91">
        <f t="shared" si="157"/>
        <v>1300</v>
      </c>
      <c r="T124" s="91">
        <f t="shared" si="157"/>
        <v>0</v>
      </c>
      <c r="U124" s="91">
        <f t="shared" si="157"/>
        <v>0</v>
      </c>
      <c r="V124" s="91">
        <f t="shared" si="157"/>
        <v>0</v>
      </c>
      <c r="W124" s="91">
        <f t="shared" si="157"/>
        <v>0</v>
      </c>
      <c r="X124" s="91">
        <f t="shared" si="157"/>
        <v>0</v>
      </c>
      <c r="Y124" s="91">
        <f t="shared" si="157"/>
        <v>0</v>
      </c>
      <c r="Z124" s="91">
        <f t="shared" si="157"/>
        <v>0</v>
      </c>
      <c r="AA124" s="91">
        <f t="shared" si="157"/>
        <v>0</v>
      </c>
      <c r="AB124" s="91">
        <f t="shared" si="157"/>
        <v>1300</v>
      </c>
      <c r="AC124" s="91">
        <f t="shared" si="157"/>
        <v>0</v>
      </c>
      <c r="AD124" s="91">
        <f t="shared" si="157"/>
        <v>0</v>
      </c>
      <c r="AE124" s="91">
        <f t="shared" si="157"/>
        <v>0</v>
      </c>
      <c r="AF124" s="91">
        <f t="shared" si="157"/>
        <v>300</v>
      </c>
      <c r="AG124" s="91">
        <f t="shared" si="157"/>
        <v>0</v>
      </c>
      <c r="AH124" s="91">
        <f t="shared" si="157"/>
        <v>0</v>
      </c>
      <c r="AI124" s="91">
        <f t="shared" si="157"/>
        <v>1600</v>
      </c>
      <c r="AJ124" s="91">
        <f t="shared" si="157"/>
        <v>0</v>
      </c>
      <c r="AK124" s="91">
        <f t="shared" si="157"/>
        <v>0</v>
      </c>
      <c r="AL124" s="91">
        <f t="shared" si="157"/>
        <v>1600</v>
      </c>
      <c r="AM124" s="91">
        <f t="shared" si="157"/>
        <v>0</v>
      </c>
      <c r="AN124" s="91">
        <f t="shared" si="157"/>
        <v>-36</v>
      </c>
      <c r="AO124" s="91">
        <f t="shared" si="157"/>
        <v>0</v>
      </c>
      <c r="AP124" s="91">
        <f t="shared" si="157"/>
        <v>0</v>
      </c>
      <c r="AQ124" s="91">
        <f t="shared" si="157"/>
        <v>0</v>
      </c>
      <c r="AR124" s="91">
        <f t="shared" si="157"/>
        <v>1564</v>
      </c>
      <c r="AS124" s="91">
        <f t="shared" si="157"/>
        <v>0</v>
      </c>
      <c r="AT124" s="92">
        <f t="shared" si="157"/>
        <v>977</v>
      </c>
      <c r="AU124" s="92">
        <f t="shared" si="157"/>
        <v>0</v>
      </c>
      <c r="AV124" s="92">
        <f t="shared" si="157"/>
        <v>0</v>
      </c>
      <c r="AW124" s="92">
        <f t="shared" si="157"/>
        <v>2541</v>
      </c>
      <c r="AX124" s="92">
        <f t="shared" si="157"/>
        <v>0</v>
      </c>
      <c r="AY124" s="91">
        <f t="shared" si="157"/>
        <v>-50</v>
      </c>
      <c r="AZ124" s="91">
        <f t="shared" si="157"/>
        <v>0</v>
      </c>
      <c r="BA124" s="91">
        <f t="shared" si="157"/>
        <v>0</v>
      </c>
      <c r="BB124" s="91">
        <f t="shared" si="157"/>
        <v>0</v>
      </c>
      <c r="BC124" s="91">
        <f t="shared" si="157"/>
        <v>0</v>
      </c>
      <c r="BD124" s="91">
        <f t="shared" si="157"/>
        <v>2491</v>
      </c>
      <c r="BE124" s="91">
        <f t="shared" si="157"/>
        <v>0</v>
      </c>
      <c r="BF124" s="91">
        <f t="shared" si="157"/>
        <v>0</v>
      </c>
      <c r="BG124" s="91">
        <f t="shared" si="157"/>
        <v>0</v>
      </c>
      <c r="BH124" s="91">
        <f t="shared" si="157"/>
        <v>0</v>
      </c>
      <c r="BI124" s="91">
        <f t="shared" si="157"/>
        <v>2491</v>
      </c>
      <c r="BJ124" s="91">
        <f t="shared" si="157"/>
        <v>0</v>
      </c>
      <c r="BK124" s="91">
        <f t="shared" si="157"/>
        <v>0</v>
      </c>
      <c r="BL124" s="91">
        <f t="shared" si="157"/>
        <v>0</v>
      </c>
      <c r="BM124" s="91">
        <f t="shared" si="157"/>
        <v>0</v>
      </c>
      <c r="BN124" s="91">
        <f t="shared" si="157"/>
        <v>0</v>
      </c>
      <c r="BO124" s="91">
        <f t="shared" si="157"/>
        <v>2491</v>
      </c>
      <c r="BP124" s="91">
        <f t="shared" si="157"/>
        <v>0</v>
      </c>
      <c r="BQ124" s="91">
        <f t="shared" si="157"/>
        <v>0</v>
      </c>
      <c r="BR124" s="91"/>
      <c r="BS124" s="91">
        <f t="shared" si="157"/>
        <v>0</v>
      </c>
      <c r="BT124" s="91">
        <f t="shared" si="157"/>
        <v>0</v>
      </c>
      <c r="BU124" s="91">
        <f t="shared" si="157"/>
        <v>2491</v>
      </c>
      <c r="BV124" s="91">
        <f>BV125</f>
        <v>0</v>
      </c>
      <c r="BW124" s="91">
        <f t="shared" si="157"/>
        <v>2342</v>
      </c>
      <c r="BX124" s="91">
        <f>BX125</f>
        <v>0</v>
      </c>
      <c r="BY124" s="77">
        <f t="shared" si="156"/>
        <v>94.01846647932557</v>
      </c>
      <c r="BZ124" s="60"/>
    </row>
    <row r="125" spans="1:78" s="11" customFormat="1" ht="99" customHeight="1" hidden="1">
      <c r="A125" s="88" t="s">
        <v>360</v>
      </c>
      <c r="B125" s="89" t="s">
        <v>135</v>
      </c>
      <c r="C125" s="89" t="s">
        <v>142</v>
      </c>
      <c r="D125" s="90" t="s">
        <v>39</v>
      </c>
      <c r="E125" s="89" t="s">
        <v>153</v>
      </c>
      <c r="F125" s="75">
        <v>1289</v>
      </c>
      <c r="G125" s="75">
        <f>H125-F125</f>
        <v>11</v>
      </c>
      <c r="H125" s="75">
        <v>1300</v>
      </c>
      <c r="I125" s="128"/>
      <c r="J125" s="128"/>
      <c r="K125" s="128"/>
      <c r="L125" s="128"/>
      <c r="M125" s="75">
        <f>H125+J125+K125+L125</f>
        <v>1300</v>
      </c>
      <c r="N125" s="78">
        <f>I125+L125</f>
        <v>0</v>
      </c>
      <c r="O125" s="128"/>
      <c r="P125" s="128"/>
      <c r="Q125" s="63"/>
      <c r="R125" s="63"/>
      <c r="S125" s="75">
        <f>M125+O125+P125+Q125+R125</f>
        <v>1300</v>
      </c>
      <c r="T125" s="75">
        <f>N125+R125</f>
        <v>0</v>
      </c>
      <c r="U125" s="63"/>
      <c r="V125" s="63"/>
      <c r="W125" s="63"/>
      <c r="X125" s="63"/>
      <c r="Y125" s="63"/>
      <c r="Z125" s="63"/>
      <c r="AA125" s="63"/>
      <c r="AB125" s="75">
        <f>S125+U125+V125+W125+X125+Y125+Z125+AA125</f>
        <v>1300</v>
      </c>
      <c r="AC125" s="80">
        <f>T125+Z125+AA125</f>
        <v>0</v>
      </c>
      <c r="AD125" s="64"/>
      <c r="AE125" s="64"/>
      <c r="AF125" s="61">
        <v>300</v>
      </c>
      <c r="AG125" s="64"/>
      <c r="AH125" s="64"/>
      <c r="AI125" s="75">
        <f>AB125+AD125+AE125+AF125+AG125+AH125</f>
        <v>1600</v>
      </c>
      <c r="AJ125" s="75">
        <f>AC125+AH125</f>
        <v>0</v>
      </c>
      <c r="AK125" s="63"/>
      <c r="AL125" s="75">
        <f>AI125+AK125</f>
        <v>1600</v>
      </c>
      <c r="AM125" s="75">
        <f>AJ125</f>
        <v>0</v>
      </c>
      <c r="AN125" s="78">
        <v>-36</v>
      </c>
      <c r="AO125" s="78"/>
      <c r="AP125" s="63"/>
      <c r="AQ125" s="63"/>
      <c r="AR125" s="75">
        <f>AL125+AN125+AO125+AP125+AQ125</f>
        <v>1564</v>
      </c>
      <c r="AS125" s="75">
        <f>AM125+AQ125</f>
        <v>0</v>
      </c>
      <c r="AT125" s="65">
        <v>977</v>
      </c>
      <c r="AU125" s="65"/>
      <c r="AV125" s="65"/>
      <c r="AW125" s="76">
        <f>AV125+AU125+AT125+AR125</f>
        <v>2541</v>
      </c>
      <c r="AX125" s="76">
        <f>AV125+AS125</f>
        <v>0</v>
      </c>
      <c r="AY125" s="75">
        <v>-50</v>
      </c>
      <c r="AZ125" s="61"/>
      <c r="BA125" s="61"/>
      <c r="BB125" s="61"/>
      <c r="BC125" s="61"/>
      <c r="BD125" s="75">
        <f>AW125+AY125+AZ125+BA125+BB125+BC125</f>
        <v>2491</v>
      </c>
      <c r="BE125" s="75">
        <f>AX125+BC125</f>
        <v>0</v>
      </c>
      <c r="BF125" s="63"/>
      <c r="BG125" s="63"/>
      <c r="BH125" s="63"/>
      <c r="BI125" s="75">
        <f>BD125+BF125+BG125+BH125</f>
        <v>2491</v>
      </c>
      <c r="BJ125" s="75">
        <f>BE125+BH125</f>
        <v>0</v>
      </c>
      <c r="BK125" s="62"/>
      <c r="BL125" s="62"/>
      <c r="BM125" s="62"/>
      <c r="BN125" s="62"/>
      <c r="BO125" s="75">
        <f>BI125+BK125+BL125+BM125+BN125</f>
        <v>2491</v>
      </c>
      <c r="BP125" s="75">
        <f>BJ125+BN125</f>
        <v>0</v>
      </c>
      <c r="BQ125" s="63"/>
      <c r="BR125" s="63"/>
      <c r="BS125" s="63"/>
      <c r="BT125" s="63"/>
      <c r="BU125" s="75">
        <f>BO125+BQ125+BS125+BT125</f>
        <v>2491</v>
      </c>
      <c r="BV125" s="75">
        <f>BP125+BT125</f>
        <v>0</v>
      </c>
      <c r="BW125" s="75">
        <v>2342</v>
      </c>
      <c r="BX125" s="75">
        <f>BR125+BV125</f>
        <v>0</v>
      </c>
      <c r="BY125" s="77">
        <f t="shared" si="156"/>
        <v>94.01846647932557</v>
      </c>
      <c r="BZ125" s="60"/>
    </row>
    <row r="126" spans="1:78" s="13" customFormat="1" ht="39.75" customHeight="1" hidden="1">
      <c r="A126" s="88" t="s">
        <v>44</v>
      </c>
      <c r="B126" s="89" t="s">
        <v>135</v>
      </c>
      <c r="C126" s="89" t="s">
        <v>142</v>
      </c>
      <c r="D126" s="90" t="s">
        <v>45</v>
      </c>
      <c r="E126" s="89"/>
      <c r="F126" s="91">
        <f>F127</f>
        <v>15522</v>
      </c>
      <c r="G126" s="91">
        <f>G127</f>
        <v>930</v>
      </c>
      <c r="H126" s="91">
        <f>H127</f>
        <v>16452</v>
      </c>
      <c r="I126" s="91">
        <f aca="true" t="shared" si="158" ref="I126:AC126">I127</f>
        <v>0</v>
      </c>
      <c r="J126" s="91">
        <f t="shared" si="158"/>
        <v>0</v>
      </c>
      <c r="K126" s="91">
        <f t="shared" si="158"/>
        <v>0</v>
      </c>
      <c r="L126" s="91">
        <f t="shared" si="158"/>
        <v>0</v>
      </c>
      <c r="M126" s="91">
        <f t="shared" si="158"/>
        <v>16452</v>
      </c>
      <c r="N126" s="91">
        <f t="shared" si="158"/>
        <v>0</v>
      </c>
      <c r="O126" s="91">
        <f t="shared" si="158"/>
        <v>0</v>
      </c>
      <c r="P126" s="91"/>
      <c r="Q126" s="91">
        <f t="shared" si="158"/>
        <v>0</v>
      </c>
      <c r="R126" s="91">
        <f t="shared" si="158"/>
        <v>0</v>
      </c>
      <c r="S126" s="91">
        <f t="shared" si="158"/>
        <v>16452</v>
      </c>
      <c r="T126" s="91">
        <f t="shared" si="158"/>
        <v>0</v>
      </c>
      <c r="U126" s="91">
        <f t="shared" si="158"/>
        <v>0</v>
      </c>
      <c r="V126" s="91">
        <f t="shared" si="158"/>
        <v>0</v>
      </c>
      <c r="W126" s="91">
        <f t="shared" si="158"/>
        <v>0</v>
      </c>
      <c r="X126" s="91">
        <f t="shared" si="158"/>
        <v>0</v>
      </c>
      <c r="Y126" s="91">
        <f t="shared" si="158"/>
        <v>0</v>
      </c>
      <c r="Z126" s="91">
        <f t="shared" si="158"/>
        <v>0</v>
      </c>
      <c r="AA126" s="91">
        <f t="shared" si="158"/>
        <v>0</v>
      </c>
      <c r="AB126" s="91">
        <f t="shared" si="158"/>
        <v>16452</v>
      </c>
      <c r="AC126" s="91">
        <f t="shared" si="158"/>
        <v>0</v>
      </c>
      <c r="AD126" s="91">
        <f>AD127+AD128</f>
        <v>0</v>
      </c>
      <c r="AE126" s="91">
        <f aca="true" t="shared" si="159" ref="AE126:AS126">AE127+AE128</f>
        <v>0</v>
      </c>
      <c r="AF126" s="91">
        <f t="shared" si="159"/>
        <v>8637</v>
      </c>
      <c r="AG126" s="91">
        <f t="shared" si="159"/>
        <v>0</v>
      </c>
      <c r="AH126" s="91">
        <f t="shared" si="159"/>
        <v>0</v>
      </c>
      <c r="AI126" s="91">
        <f t="shared" si="159"/>
        <v>25089</v>
      </c>
      <c r="AJ126" s="91">
        <f t="shared" si="159"/>
        <v>0</v>
      </c>
      <c r="AK126" s="91">
        <f t="shared" si="159"/>
        <v>0</v>
      </c>
      <c r="AL126" s="91">
        <f t="shared" si="159"/>
        <v>25089</v>
      </c>
      <c r="AM126" s="91">
        <f t="shared" si="159"/>
        <v>0</v>
      </c>
      <c r="AN126" s="91">
        <f t="shared" si="159"/>
        <v>0</v>
      </c>
      <c r="AO126" s="91">
        <f t="shared" si="159"/>
        <v>0</v>
      </c>
      <c r="AP126" s="91">
        <f t="shared" si="159"/>
        <v>0</v>
      </c>
      <c r="AQ126" s="91">
        <f t="shared" si="159"/>
        <v>0</v>
      </c>
      <c r="AR126" s="91">
        <f t="shared" si="159"/>
        <v>25089</v>
      </c>
      <c r="AS126" s="91">
        <f t="shared" si="159"/>
        <v>0</v>
      </c>
      <c r="AT126" s="92">
        <f>AT127+AT128</f>
        <v>-835</v>
      </c>
      <c r="AU126" s="92">
        <f>AU127+AU128</f>
        <v>-266</v>
      </c>
      <c r="AV126" s="92">
        <f>AV127+AV128</f>
        <v>0</v>
      </c>
      <c r="AW126" s="92">
        <f>AW127+AW128</f>
        <v>23988</v>
      </c>
      <c r="AX126" s="92">
        <f aca="true" t="shared" si="160" ref="AX126:BV126">AX127+AX128</f>
        <v>0</v>
      </c>
      <c r="AY126" s="91">
        <f t="shared" si="160"/>
        <v>-17182</v>
      </c>
      <c r="AZ126" s="91">
        <f t="shared" si="160"/>
        <v>0</v>
      </c>
      <c r="BA126" s="91">
        <f t="shared" si="160"/>
        <v>0</v>
      </c>
      <c r="BB126" s="91">
        <f t="shared" si="160"/>
        <v>0</v>
      </c>
      <c r="BC126" s="91">
        <f t="shared" si="160"/>
        <v>0</v>
      </c>
      <c r="BD126" s="91">
        <f t="shared" si="160"/>
        <v>6806</v>
      </c>
      <c r="BE126" s="91">
        <f t="shared" si="160"/>
        <v>0</v>
      </c>
      <c r="BF126" s="91">
        <f t="shared" si="160"/>
        <v>0</v>
      </c>
      <c r="BG126" s="91">
        <f t="shared" si="160"/>
        <v>0</v>
      </c>
      <c r="BH126" s="91">
        <f t="shared" si="160"/>
        <v>0</v>
      </c>
      <c r="BI126" s="91">
        <f t="shared" si="160"/>
        <v>6806</v>
      </c>
      <c r="BJ126" s="91">
        <f t="shared" si="160"/>
        <v>0</v>
      </c>
      <c r="BK126" s="91">
        <f t="shared" si="160"/>
        <v>0</v>
      </c>
      <c r="BL126" s="91">
        <f t="shared" si="160"/>
        <v>0</v>
      </c>
      <c r="BM126" s="91">
        <f t="shared" si="160"/>
        <v>0</v>
      </c>
      <c r="BN126" s="91">
        <f t="shared" si="160"/>
        <v>0</v>
      </c>
      <c r="BO126" s="91">
        <f t="shared" si="160"/>
        <v>6806</v>
      </c>
      <c r="BP126" s="91">
        <f t="shared" si="160"/>
        <v>0</v>
      </c>
      <c r="BQ126" s="91">
        <f t="shared" si="160"/>
        <v>-65</v>
      </c>
      <c r="BR126" s="91"/>
      <c r="BS126" s="91">
        <f t="shared" si="160"/>
        <v>-264</v>
      </c>
      <c r="BT126" s="91">
        <f t="shared" si="160"/>
        <v>0</v>
      </c>
      <c r="BU126" s="91">
        <f t="shared" si="160"/>
        <v>6477</v>
      </c>
      <c r="BV126" s="91">
        <f t="shared" si="160"/>
        <v>0</v>
      </c>
      <c r="BW126" s="91">
        <f>BW127+BW128</f>
        <v>5986</v>
      </c>
      <c r="BX126" s="91">
        <f>BX127+BX128</f>
        <v>0</v>
      </c>
      <c r="BY126" s="77">
        <f t="shared" si="156"/>
        <v>92.41932993669909</v>
      </c>
      <c r="BZ126" s="60"/>
    </row>
    <row r="127" spans="1:78" s="14" customFormat="1" ht="69" customHeight="1" hidden="1">
      <c r="A127" s="88" t="s">
        <v>361</v>
      </c>
      <c r="B127" s="89" t="s">
        <v>135</v>
      </c>
      <c r="C127" s="89" t="s">
        <v>142</v>
      </c>
      <c r="D127" s="90" t="s">
        <v>45</v>
      </c>
      <c r="E127" s="89" t="s">
        <v>139</v>
      </c>
      <c r="F127" s="75">
        <v>15522</v>
      </c>
      <c r="G127" s="75">
        <f>H127-F127</f>
        <v>930</v>
      </c>
      <c r="H127" s="75">
        <v>16452</v>
      </c>
      <c r="I127" s="114"/>
      <c r="J127" s="114"/>
      <c r="K127" s="114"/>
      <c r="L127" s="114"/>
      <c r="M127" s="75">
        <f>H127+J127+K127+L127</f>
        <v>16452</v>
      </c>
      <c r="N127" s="78">
        <f>I127+L127</f>
        <v>0</v>
      </c>
      <c r="O127" s="114"/>
      <c r="P127" s="114"/>
      <c r="Q127" s="79"/>
      <c r="R127" s="79"/>
      <c r="S127" s="75">
        <f>M127+O127+P127+Q127+R127</f>
        <v>16452</v>
      </c>
      <c r="T127" s="75">
        <f>N127+R127</f>
        <v>0</v>
      </c>
      <c r="U127" s="79"/>
      <c r="V127" s="79"/>
      <c r="W127" s="79"/>
      <c r="X127" s="79"/>
      <c r="Y127" s="79"/>
      <c r="Z127" s="79"/>
      <c r="AA127" s="79"/>
      <c r="AB127" s="75">
        <f>S127+U127+V127+W127+X127+Y127+Z127+AA127</f>
        <v>16452</v>
      </c>
      <c r="AC127" s="80">
        <f>T127+Z127+AA127</f>
        <v>0</v>
      </c>
      <c r="AD127" s="80"/>
      <c r="AE127" s="80"/>
      <c r="AF127" s="75">
        <f>4865-1000</f>
        <v>3865</v>
      </c>
      <c r="AG127" s="80"/>
      <c r="AH127" s="80"/>
      <c r="AI127" s="75">
        <f>AB127+AD127+AE127+AF127+AG127+AH127</f>
        <v>20317</v>
      </c>
      <c r="AJ127" s="75">
        <f>AC127+AH127</f>
        <v>0</v>
      </c>
      <c r="AK127" s="79"/>
      <c r="AL127" s="75">
        <f>AI127+AK127</f>
        <v>20317</v>
      </c>
      <c r="AM127" s="75">
        <f>AJ127</f>
        <v>0</v>
      </c>
      <c r="AN127" s="79"/>
      <c r="AO127" s="79"/>
      <c r="AP127" s="79"/>
      <c r="AQ127" s="79"/>
      <c r="AR127" s="75">
        <f>AL127+AN127+AO127+AP127+AQ127</f>
        <v>20317</v>
      </c>
      <c r="AS127" s="75">
        <f>AM127+AQ127</f>
        <v>0</v>
      </c>
      <c r="AT127" s="81">
        <v>-835</v>
      </c>
      <c r="AU127" s="81">
        <v>-266</v>
      </c>
      <c r="AV127" s="81"/>
      <c r="AW127" s="76">
        <f>AV127+AU127+AT127+AR127</f>
        <v>19216</v>
      </c>
      <c r="AX127" s="76">
        <f>AV127+AS127</f>
        <v>0</v>
      </c>
      <c r="AY127" s="75">
        <f>-13323-29</f>
        <v>-13352</v>
      </c>
      <c r="AZ127" s="75"/>
      <c r="BA127" s="75"/>
      <c r="BB127" s="75"/>
      <c r="BC127" s="75"/>
      <c r="BD127" s="75">
        <f>AW127+AY127+AZ127+BA127+BB127+BC127</f>
        <v>5864</v>
      </c>
      <c r="BE127" s="75">
        <f>AX127+BC127</f>
        <v>0</v>
      </c>
      <c r="BF127" s="79"/>
      <c r="BG127" s="79"/>
      <c r="BH127" s="79"/>
      <c r="BI127" s="75">
        <f>BD127+BF127+BG127+BH127</f>
        <v>5864</v>
      </c>
      <c r="BJ127" s="75">
        <f>BE127+BH127</f>
        <v>0</v>
      </c>
      <c r="BK127" s="78"/>
      <c r="BL127" s="78"/>
      <c r="BM127" s="78"/>
      <c r="BN127" s="78"/>
      <c r="BO127" s="75">
        <f>BI127+BK127+BL127+BM127+BN127</f>
        <v>5864</v>
      </c>
      <c r="BP127" s="75">
        <f>BJ127+BN127</f>
        <v>0</v>
      </c>
      <c r="BQ127" s="78">
        <v>-65</v>
      </c>
      <c r="BR127" s="78"/>
      <c r="BS127" s="78">
        <v>-264</v>
      </c>
      <c r="BT127" s="79"/>
      <c r="BU127" s="75">
        <f>BO127+BQ127+BS127+BT127</f>
        <v>5535</v>
      </c>
      <c r="BV127" s="75">
        <f>BP127+BT127</f>
        <v>0</v>
      </c>
      <c r="BW127" s="75">
        <v>5044</v>
      </c>
      <c r="BX127" s="75">
        <f>BR127+BV127</f>
        <v>0</v>
      </c>
      <c r="BY127" s="77">
        <f t="shared" si="156"/>
        <v>91.12917795844625</v>
      </c>
      <c r="BZ127" s="60"/>
    </row>
    <row r="128" spans="1:78" s="14" customFormat="1" ht="138" customHeight="1" hidden="1">
      <c r="A128" s="129" t="s">
        <v>318</v>
      </c>
      <c r="B128" s="89" t="s">
        <v>135</v>
      </c>
      <c r="C128" s="89" t="s">
        <v>142</v>
      </c>
      <c r="D128" s="90" t="s">
        <v>317</v>
      </c>
      <c r="E128" s="89"/>
      <c r="F128" s="75"/>
      <c r="G128" s="75"/>
      <c r="H128" s="75"/>
      <c r="I128" s="114"/>
      <c r="J128" s="114"/>
      <c r="K128" s="114"/>
      <c r="L128" s="114"/>
      <c r="M128" s="75"/>
      <c r="N128" s="78"/>
      <c r="O128" s="114"/>
      <c r="P128" s="114"/>
      <c r="Q128" s="79"/>
      <c r="R128" s="79"/>
      <c r="S128" s="75"/>
      <c r="T128" s="75"/>
      <c r="U128" s="79"/>
      <c r="V128" s="79"/>
      <c r="W128" s="79"/>
      <c r="X128" s="79"/>
      <c r="Y128" s="79"/>
      <c r="Z128" s="79"/>
      <c r="AA128" s="79"/>
      <c r="AB128" s="75"/>
      <c r="AC128" s="80"/>
      <c r="AD128" s="80">
        <f aca="true" t="shared" si="161" ref="AD128:BX128">AD129</f>
        <v>0</v>
      </c>
      <c r="AE128" s="80">
        <f t="shared" si="161"/>
        <v>0</v>
      </c>
      <c r="AF128" s="75">
        <f t="shared" si="161"/>
        <v>4772</v>
      </c>
      <c r="AG128" s="80">
        <f t="shared" si="161"/>
        <v>0</v>
      </c>
      <c r="AH128" s="80">
        <f t="shared" si="161"/>
        <v>0</v>
      </c>
      <c r="AI128" s="75">
        <f t="shared" si="161"/>
        <v>4772</v>
      </c>
      <c r="AJ128" s="75">
        <f t="shared" si="161"/>
        <v>0</v>
      </c>
      <c r="AK128" s="75">
        <f t="shared" si="161"/>
        <v>0</v>
      </c>
      <c r="AL128" s="75">
        <f t="shared" si="161"/>
        <v>4772</v>
      </c>
      <c r="AM128" s="75">
        <f t="shared" si="161"/>
        <v>0</v>
      </c>
      <c r="AN128" s="75">
        <f t="shared" si="161"/>
        <v>0</v>
      </c>
      <c r="AO128" s="75">
        <f t="shared" si="161"/>
        <v>0</v>
      </c>
      <c r="AP128" s="75">
        <f t="shared" si="161"/>
        <v>0</v>
      </c>
      <c r="AQ128" s="75">
        <f t="shared" si="161"/>
        <v>0</v>
      </c>
      <c r="AR128" s="75">
        <f t="shared" si="161"/>
        <v>4772</v>
      </c>
      <c r="AS128" s="75">
        <f t="shared" si="161"/>
        <v>0</v>
      </c>
      <c r="AT128" s="76">
        <f t="shared" si="161"/>
        <v>0</v>
      </c>
      <c r="AU128" s="76">
        <f t="shared" si="161"/>
        <v>0</v>
      </c>
      <c r="AV128" s="76">
        <f t="shared" si="161"/>
        <v>0</v>
      </c>
      <c r="AW128" s="76">
        <f t="shared" si="161"/>
        <v>4772</v>
      </c>
      <c r="AX128" s="76">
        <f t="shared" si="161"/>
        <v>0</v>
      </c>
      <c r="AY128" s="75">
        <f t="shared" si="161"/>
        <v>-3830</v>
      </c>
      <c r="AZ128" s="75">
        <f t="shared" si="161"/>
        <v>0</v>
      </c>
      <c r="BA128" s="75">
        <f t="shared" si="161"/>
        <v>0</v>
      </c>
      <c r="BB128" s="75">
        <f t="shared" si="161"/>
        <v>0</v>
      </c>
      <c r="BC128" s="75">
        <f t="shared" si="161"/>
        <v>0</v>
      </c>
      <c r="BD128" s="75">
        <f t="shared" si="161"/>
        <v>942</v>
      </c>
      <c r="BE128" s="75">
        <f t="shared" si="161"/>
        <v>0</v>
      </c>
      <c r="BF128" s="75">
        <f t="shared" si="161"/>
        <v>0</v>
      </c>
      <c r="BG128" s="75">
        <f t="shared" si="161"/>
        <v>0</v>
      </c>
      <c r="BH128" s="75">
        <f t="shared" si="161"/>
        <v>0</v>
      </c>
      <c r="BI128" s="75">
        <f t="shared" si="161"/>
        <v>942</v>
      </c>
      <c r="BJ128" s="75">
        <f t="shared" si="161"/>
        <v>0</v>
      </c>
      <c r="BK128" s="75">
        <f t="shared" si="161"/>
        <v>0</v>
      </c>
      <c r="BL128" s="75">
        <f t="shared" si="161"/>
        <v>0</v>
      </c>
      <c r="BM128" s="75">
        <f t="shared" si="161"/>
        <v>0</v>
      </c>
      <c r="BN128" s="75">
        <f t="shared" si="161"/>
        <v>0</v>
      </c>
      <c r="BO128" s="75">
        <f t="shared" si="161"/>
        <v>942</v>
      </c>
      <c r="BP128" s="75">
        <f t="shared" si="161"/>
        <v>0</v>
      </c>
      <c r="BQ128" s="75">
        <f t="shared" si="161"/>
        <v>0</v>
      </c>
      <c r="BR128" s="75"/>
      <c r="BS128" s="75">
        <f t="shared" si="161"/>
        <v>0</v>
      </c>
      <c r="BT128" s="75">
        <f t="shared" si="161"/>
        <v>0</v>
      </c>
      <c r="BU128" s="75">
        <f t="shared" si="161"/>
        <v>942</v>
      </c>
      <c r="BV128" s="75">
        <f t="shared" si="161"/>
        <v>0</v>
      </c>
      <c r="BW128" s="75">
        <f t="shared" si="161"/>
        <v>942</v>
      </c>
      <c r="BX128" s="75">
        <f t="shared" si="161"/>
        <v>0</v>
      </c>
      <c r="BY128" s="77">
        <f t="shared" si="156"/>
        <v>100</v>
      </c>
      <c r="BZ128" s="60"/>
    </row>
    <row r="129" spans="1:78" s="14" customFormat="1" ht="87.75" customHeight="1" hidden="1">
      <c r="A129" s="88" t="s">
        <v>319</v>
      </c>
      <c r="B129" s="89" t="s">
        <v>135</v>
      </c>
      <c r="C129" s="89" t="s">
        <v>142</v>
      </c>
      <c r="D129" s="90" t="s">
        <v>317</v>
      </c>
      <c r="E129" s="89" t="s">
        <v>271</v>
      </c>
      <c r="F129" s="75"/>
      <c r="G129" s="75"/>
      <c r="H129" s="75"/>
      <c r="I129" s="114"/>
      <c r="J129" s="114"/>
      <c r="K129" s="114"/>
      <c r="L129" s="114"/>
      <c r="M129" s="75"/>
      <c r="N129" s="78"/>
      <c r="O129" s="114"/>
      <c r="P129" s="114"/>
      <c r="Q129" s="79"/>
      <c r="R129" s="79"/>
      <c r="S129" s="75"/>
      <c r="T129" s="75"/>
      <c r="U129" s="79"/>
      <c r="V129" s="79"/>
      <c r="W129" s="79"/>
      <c r="X129" s="79"/>
      <c r="Y129" s="79"/>
      <c r="Z129" s="79"/>
      <c r="AA129" s="79"/>
      <c r="AB129" s="75"/>
      <c r="AC129" s="80"/>
      <c r="AD129" s="80"/>
      <c r="AE129" s="80"/>
      <c r="AF129" s="75">
        <v>4772</v>
      </c>
      <c r="AG129" s="80"/>
      <c r="AH129" s="80"/>
      <c r="AI129" s="75">
        <f>AB129+AD129+AE129+AF129+AG129+AH129</f>
        <v>4772</v>
      </c>
      <c r="AJ129" s="75">
        <f>AC129+AH129</f>
        <v>0</v>
      </c>
      <c r="AK129" s="79"/>
      <c r="AL129" s="75">
        <f>AI129+AK129</f>
        <v>4772</v>
      </c>
      <c r="AM129" s="75">
        <f>AJ129</f>
        <v>0</v>
      </c>
      <c r="AN129" s="79"/>
      <c r="AO129" s="79"/>
      <c r="AP129" s="79"/>
      <c r="AQ129" s="79"/>
      <c r="AR129" s="75">
        <f>AL129+AN129+AO129+AP129+AQ129</f>
        <v>4772</v>
      </c>
      <c r="AS129" s="75">
        <f>AM129+AQ129</f>
        <v>0</v>
      </c>
      <c r="AT129" s="81"/>
      <c r="AU129" s="81"/>
      <c r="AV129" s="81"/>
      <c r="AW129" s="76">
        <f>AV129+AU129+AT129+AR129</f>
        <v>4772</v>
      </c>
      <c r="AX129" s="76">
        <f>AV129+AS129</f>
        <v>0</v>
      </c>
      <c r="AY129" s="75">
        <v>-3830</v>
      </c>
      <c r="AZ129" s="75"/>
      <c r="BA129" s="75"/>
      <c r="BB129" s="75"/>
      <c r="BC129" s="75"/>
      <c r="BD129" s="75">
        <f>AW129+AY129+AZ129+BA129+BB129+BC129</f>
        <v>942</v>
      </c>
      <c r="BE129" s="75">
        <f>AX129+BC129</f>
        <v>0</v>
      </c>
      <c r="BF129" s="79"/>
      <c r="BG129" s="79"/>
      <c r="BH129" s="79"/>
      <c r="BI129" s="75">
        <f>BD129+BF129+BG129+BH129</f>
        <v>942</v>
      </c>
      <c r="BJ129" s="75">
        <f>BE129+BH129</f>
        <v>0</v>
      </c>
      <c r="BK129" s="78"/>
      <c r="BL129" s="78"/>
      <c r="BM129" s="78"/>
      <c r="BN129" s="78"/>
      <c r="BO129" s="75">
        <f>BI129+BK129+BL129+BM129+BN129</f>
        <v>942</v>
      </c>
      <c r="BP129" s="75">
        <f>BJ129+BN129</f>
        <v>0</v>
      </c>
      <c r="BQ129" s="79"/>
      <c r="BR129" s="79"/>
      <c r="BS129" s="79"/>
      <c r="BT129" s="79"/>
      <c r="BU129" s="75">
        <f>BO129+BQ129+BS129+BT129</f>
        <v>942</v>
      </c>
      <c r="BV129" s="75">
        <f>BP129+BT129</f>
        <v>0</v>
      </c>
      <c r="BW129" s="75">
        <v>942</v>
      </c>
      <c r="BX129" s="75">
        <f>BR129+BV129</f>
        <v>0</v>
      </c>
      <c r="BY129" s="77">
        <f t="shared" si="156"/>
        <v>100</v>
      </c>
      <c r="BZ129" s="60"/>
    </row>
    <row r="130" spans="1:78" s="19" customFormat="1" ht="34.5" customHeight="1" hidden="1">
      <c r="A130" s="88" t="s">
        <v>46</v>
      </c>
      <c r="B130" s="89" t="s">
        <v>135</v>
      </c>
      <c r="C130" s="89" t="s">
        <v>142</v>
      </c>
      <c r="D130" s="90" t="s">
        <v>47</v>
      </c>
      <c r="E130" s="89"/>
      <c r="F130" s="91">
        <f>F131+F132</f>
        <v>21151</v>
      </c>
      <c r="G130" s="91">
        <f>G131+G132</f>
        <v>-16139</v>
      </c>
      <c r="H130" s="91">
        <f>H131+H132</f>
        <v>5012</v>
      </c>
      <c r="I130" s="91">
        <f aca="true" t="shared" si="162" ref="I130:AS130">I131+I132</f>
        <v>0</v>
      </c>
      <c r="J130" s="91">
        <f t="shared" si="162"/>
        <v>0</v>
      </c>
      <c r="K130" s="91">
        <f t="shared" si="162"/>
        <v>0</v>
      </c>
      <c r="L130" s="91">
        <f t="shared" si="162"/>
        <v>0</v>
      </c>
      <c r="M130" s="91">
        <f t="shared" si="162"/>
        <v>5012</v>
      </c>
      <c r="N130" s="91">
        <f t="shared" si="162"/>
        <v>0</v>
      </c>
      <c r="O130" s="91">
        <f t="shared" si="162"/>
        <v>0</v>
      </c>
      <c r="P130" s="91"/>
      <c r="Q130" s="91">
        <f t="shared" si="162"/>
        <v>0</v>
      </c>
      <c r="R130" s="91">
        <f t="shared" si="162"/>
        <v>0</v>
      </c>
      <c r="S130" s="91">
        <f t="shared" si="162"/>
        <v>5012</v>
      </c>
      <c r="T130" s="91">
        <f t="shared" si="162"/>
        <v>0</v>
      </c>
      <c r="U130" s="91">
        <f t="shared" si="162"/>
        <v>0</v>
      </c>
      <c r="V130" s="91">
        <f t="shared" si="162"/>
        <v>0</v>
      </c>
      <c r="W130" s="91">
        <f t="shared" si="162"/>
        <v>0</v>
      </c>
      <c r="X130" s="91">
        <f t="shared" si="162"/>
        <v>0</v>
      </c>
      <c r="Y130" s="91">
        <f t="shared" si="162"/>
        <v>0</v>
      </c>
      <c r="Z130" s="91">
        <f t="shared" si="162"/>
        <v>0</v>
      </c>
      <c r="AA130" s="91">
        <f t="shared" si="162"/>
        <v>0</v>
      </c>
      <c r="AB130" s="91">
        <f t="shared" si="162"/>
        <v>5012</v>
      </c>
      <c r="AC130" s="91">
        <f t="shared" si="162"/>
        <v>0</v>
      </c>
      <c r="AD130" s="91">
        <f t="shared" si="162"/>
        <v>0</v>
      </c>
      <c r="AE130" s="91">
        <f t="shared" si="162"/>
        <v>0</v>
      </c>
      <c r="AF130" s="91">
        <f t="shared" si="162"/>
        <v>0</v>
      </c>
      <c r="AG130" s="91">
        <f t="shared" si="162"/>
        <v>0</v>
      </c>
      <c r="AH130" s="91">
        <f t="shared" si="162"/>
        <v>0</v>
      </c>
      <c r="AI130" s="91">
        <f t="shared" si="162"/>
        <v>5012</v>
      </c>
      <c r="AJ130" s="91">
        <f t="shared" si="162"/>
        <v>0</v>
      </c>
      <c r="AK130" s="91">
        <f t="shared" si="162"/>
        <v>0</v>
      </c>
      <c r="AL130" s="91">
        <f t="shared" si="162"/>
        <v>5012</v>
      </c>
      <c r="AM130" s="91">
        <f t="shared" si="162"/>
        <v>0</v>
      </c>
      <c r="AN130" s="91">
        <f t="shared" si="162"/>
        <v>36</v>
      </c>
      <c r="AO130" s="91">
        <f t="shared" si="162"/>
        <v>0</v>
      </c>
      <c r="AP130" s="91">
        <f t="shared" si="162"/>
        <v>0</v>
      </c>
      <c r="AQ130" s="91">
        <f t="shared" si="162"/>
        <v>0</v>
      </c>
      <c r="AR130" s="91">
        <f t="shared" si="162"/>
        <v>5048</v>
      </c>
      <c r="AS130" s="91">
        <f t="shared" si="162"/>
        <v>0</v>
      </c>
      <c r="AT130" s="92">
        <f>AT131+AT132</f>
        <v>0</v>
      </c>
      <c r="AU130" s="92">
        <f>AU131+AU132</f>
        <v>0</v>
      </c>
      <c r="AV130" s="92">
        <f>AV131+AV132</f>
        <v>0</v>
      </c>
      <c r="AW130" s="92">
        <f>AW131+AW132</f>
        <v>5048</v>
      </c>
      <c r="AX130" s="92">
        <f aca="true" t="shared" si="163" ref="AX130:BV130">AX131+AX132</f>
        <v>0</v>
      </c>
      <c r="AY130" s="91">
        <f t="shared" si="163"/>
        <v>-25</v>
      </c>
      <c r="AZ130" s="91">
        <f t="shared" si="163"/>
        <v>0</v>
      </c>
      <c r="BA130" s="91">
        <f t="shared" si="163"/>
        <v>0</v>
      </c>
      <c r="BB130" s="91">
        <f t="shared" si="163"/>
        <v>0</v>
      </c>
      <c r="BC130" s="91">
        <f t="shared" si="163"/>
        <v>0</v>
      </c>
      <c r="BD130" s="91">
        <f t="shared" si="163"/>
        <v>5023</v>
      </c>
      <c r="BE130" s="91">
        <f t="shared" si="163"/>
        <v>0</v>
      </c>
      <c r="BF130" s="91">
        <f t="shared" si="163"/>
        <v>0</v>
      </c>
      <c r="BG130" s="91">
        <f t="shared" si="163"/>
        <v>0</v>
      </c>
      <c r="BH130" s="91">
        <f t="shared" si="163"/>
        <v>0</v>
      </c>
      <c r="BI130" s="91">
        <f t="shared" si="163"/>
        <v>5023</v>
      </c>
      <c r="BJ130" s="91">
        <f t="shared" si="163"/>
        <v>0</v>
      </c>
      <c r="BK130" s="91">
        <f t="shared" si="163"/>
        <v>0</v>
      </c>
      <c r="BL130" s="91">
        <f t="shared" si="163"/>
        <v>0</v>
      </c>
      <c r="BM130" s="91">
        <f t="shared" si="163"/>
        <v>0</v>
      </c>
      <c r="BN130" s="91">
        <f t="shared" si="163"/>
        <v>0</v>
      </c>
      <c r="BO130" s="91">
        <f t="shared" si="163"/>
        <v>5023</v>
      </c>
      <c r="BP130" s="91">
        <f t="shared" si="163"/>
        <v>0</v>
      </c>
      <c r="BQ130" s="91">
        <f t="shared" si="163"/>
        <v>0</v>
      </c>
      <c r="BR130" s="91"/>
      <c r="BS130" s="91">
        <f t="shared" si="163"/>
        <v>0</v>
      </c>
      <c r="BT130" s="91">
        <f t="shared" si="163"/>
        <v>0</v>
      </c>
      <c r="BU130" s="91">
        <f t="shared" si="163"/>
        <v>5023</v>
      </c>
      <c r="BV130" s="91">
        <f t="shared" si="163"/>
        <v>0</v>
      </c>
      <c r="BW130" s="91">
        <f>BW131+BW132</f>
        <v>5023</v>
      </c>
      <c r="BX130" s="91">
        <f>BX131+BX132</f>
        <v>0</v>
      </c>
      <c r="BY130" s="77">
        <f t="shared" si="156"/>
        <v>100</v>
      </c>
      <c r="BZ130" s="60"/>
    </row>
    <row r="131" spans="1:78" s="20" customFormat="1" ht="71.25" customHeight="1" hidden="1">
      <c r="A131" s="88" t="s">
        <v>361</v>
      </c>
      <c r="B131" s="89" t="s">
        <v>135</v>
      </c>
      <c r="C131" s="89" t="s">
        <v>142</v>
      </c>
      <c r="D131" s="90" t="s">
        <v>47</v>
      </c>
      <c r="E131" s="89" t="s">
        <v>139</v>
      </c>
      <c r="F131" s="75">
        <v>21151</v>
      </c>
      <c r="G131" s="75">
        <f>H131-F131</f>
        <v>-16139</v>
      </c>
      <c r="H131" s="75">
        <v>5012</v>
      </c>
      <c r="I131" s="130"/>
      <c r="J131" s="130"/>
      <c r="K131" s="130"/>
      <c r="L131" s="130"/>
      <c r="M131" s="75">
        <f>H131+J131+K131+L131</f>
        <v>5012</v>
      </c>
      <c r="N131" s="78">
        <f>I131+L131</f>
        <v>0</v>
      </c>
      <c r="O131" s="130"/>
      <c r="P131" s="130"/>
      <c r="Q131" s="131"/>
      <c r="R131" s="131"/>
      <c r="S131" s="75">
        <f>M131+O131+P131+Q131+R131</f>
        <v>5012</v>
      </c>
      <c r="T131" s="75">
        <f>N131+R131</f>
        <v>0</v>
      </c>
      <c r="U131" s="131"/>
      <c r="V131" s="78"/>
      <c r="W131" s="131"/>
      <c r="X131" s="131"/>
      <c r="Y131" s="131"/>
      <c r="Z131" s="131"/>
      <c r="AA131" s="131"/>
      <c r="AB131" s="75">
        <f>S131+U131+V131+W131+X131+Y131+Z131+AA131</f>
        <v>5012</v>
      </c>
      <c r="AC131" s="80">
        <f>T131+Z131+AA131</f>
        <v>0</v>
      </c>
      <c r="AD131" s="132"/>
      <c r="AE131" s="75"/>
      <c r="AF131" s="133"/>
      <c r="AG131" s="132"/>
      <c r="AH131" s="132"/>
      <c r="AI131" s="75">
        <f>AB131+AD131+AE131+AF131+AG131+AH131</f>
        <v>5012</v>
      </c>
      <c r="AJ131" s="75">
        <f>AC131+AH131</f>
        <v>0</v>
      </c>
      <c r="AK131" s="131"/>
      <c r="AL131" s="75">
        <f>AI131+AK131</f>
        <v>5012</v>
      </c>
      <c r="AM131" s="75">
        <f>AJ131</f>
        <v>0</v>
      </c>
      <c r="AN131" s="78">
        <v>36</v>
      </c>
      <c r="AO131" s="78"/>
      <c r="AP131" s="131"/>
      <c r="AQ131" s="131"/>
      <c r="AR131" s="75">
        <f>AL131+AN131+AO131+AP131+AQ131</f>
        <v>5048</v>
      </c>
      <c r="AS131" s="75">
        <f>AM131+AQ131</f>
        <v>0</v>
      </c>
      <c r="AT131" s="76"/>
      <c r="AU131" s="81"/>
      <c r="AV131" s="81"/>
      <c r="AW131" s="76">
        <f>AV131+AU131+AT131+AR131</f>
        <v>5048</v>
      </c>
      <c r="AX131" s="76">
        <f>AV131+AS131</f>
        <v>0</v>
      </c>
      <c r="AY131" s="75">
        <v>-25</v>
      </c>
      <c r="AZ131" s="133"/>
      <c r="BA131" s="133"/>
      <c r="BB131" s="133"/>
      <c r="BC131" s="133"/>
      <c r="BD131" s="75">
        <f>AW131+AY131+AZ131+BA131+BB131+BC131</f>
        <v>5023</v>
      </c>
      <c r="BE131" s="75">
        <f>AX131+BC131</f>
        <v>0</v>
      </c>
      <c r="BF131" s="131"/>
      <c r="BG131" s="131"/>
      <c r="BH131" s="131"/>
      <c r="BI131" s="75">
        <f>BD131+BF131+BG131+BH131</f>
        <v>5023</v>
      </c>
      <c r="BJ131" s="75">
        <f>BE131+BH131</f>
        <v>0</v>
      </c>
      <c r="BK131" s="118"/>
      <c r="BL131" s="118"/>
      <c r="BM131" s="118"/>
      <c r="BN131" s="118"/>
      <c r="BO131" s="75">
        <f>BI131+BK131+BL131+BM131+BN131</f>
        <v>5023</v>
      </c>
      <c r="BP131" s="75">
        <f>BJ131+BN131</f>
        <v>0</v>
      </c>
      <c r="BQ131" s="131"/>
      <c r="BR131" s="131"/>
      <c r="BS131" s="131"/>
      <c r="BT131" s="131"/>
      <c r="BU131" s="75">
        <f>BO131+BQ131+BS131+BT131</f>
        <v>5023</v>
      </c>
      <c r="BV131" s="75">
        <f>BP131+BT131</f>
        <v>0</v>
      </c>
      <c r="BW131" s="75">
        <v>5023</v>
      </c>
      <c r="BX131" s="75">
        <f>BR131+BV131</f>
        <v>0</v>
      </c>
      <c r="BY131" s="77">
        <f t="shared" si="156"/>
        <v>100</v>
      </c>
      <c r="BZ131" s="60"/>
    </row>
    <row r="132" spans="1:78" s="20" customFormat="1" ht="39" customHeight="1" hidden="1">
      <c r="A132" s="88" t="s">
        <v>256</v>
      </c>
      <c r="B132" s="89" t="s">
        <v>135</v>
      </c>
      <c r="C132" s="89" t="s">
        <v>142</v>
      </c>
      <c r="D132" s="90" t="s">
        <v>255</v>
      </c>
      <c r="E132" s="89"/>
      <c r="F132" s="75">
        <f>F133</f>
        <v>0</v>
      </c>
      <c r="G132" s="75">
        <f>G133</f>
        <v>0</v>
      </c>
      <c r="H132" s="75">
        <f>H133</f>
        <v>0</v>
      </c>
      <c r="I132" s="75">
        <f>I133</f>
        <v>0</v>
      </c>
      <c r="J132" s="130"/>
      <c r="K132" s="130"/>
      <c r="L132" s="130"/>
      <c r="M132" s="130"/>
      <c r="N132" s="130"/>
      <c r="O132" s="130"/>
      <c r="P132" s="130"/>
      <c r="Q132" s="131"/>
      <c r="R132" s="131"/>
      <c r="S132" s="133"/>
      <c r="T132" s="133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2"/>
      <c r="AE132" s="132"/>
      <c r="AF132" s="133"/>
      <c r="AG132" s="132"/>
      <c r="AH132" s="132"/>
      <c r="AI132" s="132"/>
      <c r="AJ132" s="132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19"/>
      <c r="AU132" s="119"/>
      <c r="AV132" s="119"/>
      <c r="AW132" s="119"/>
      <c r="AX132" s="119"/>
      <c r="AY132" s="133"/>
      <c r="AZ132" s="133"/>
      <c r="BA132" s="133"/>
      <c r="BB132" s="133"/>
      <c r="BC132" s="133"/>
      <c r="BD132" s="118"/>
      <c r="BE132" s="118"/>
      <c r="BF132" s="131"/>
      <c r="BG132" s="131"/>
      <c r="BH132" s="131"/>
      <c r="BI132" s="131"/>
      <c r="BJ132" s="131"/>
      <c r="BK132" s="118"/>
      <c r="BL132" s="118"/>
      <c r="BM132" s="118"/>
      <c r="BN132" s="118"/>
      <c r="BO132" s="118"/>
      <c r="BP132" s="118"/>
      <c r="BQ132" s="131"/>
      <c r="BR132" s="131"/>
      <c r="BS132" s="131"/>
      <c r="BT132" s="131"/>
      <c r="BU132" s="131"/>
      <c r="BV132" s="131"/>
      <c r="BW132" s="131"/>
      <c r="BX132" s="131"/>
      <c r="BY132" s="77" t="e">
        <f t="shared" si="156"/>
        <v>#DIV/0!</v>
      </c>
      <c r="BZ132" s="60" t="e">
        <f>BX132/BV132*100</f>
        <v>#DIV/0!</v>
      </c>
    </row>
    <row r="133" spans="1:78" s="20" customFormat="1" ht="11.25" customHeight="1" hidden="1">
      <c r="A133" s="88" t="s">
        <v>158</v>
      </c>
      <c r="B133" s="89" t="s">
        <v>135</v>
      </c>
      <c r="C133" s="89" t="s">
        <v>142</v>
      </c>
      <c r="D133" s="90" t="s">
        <v>255</v>
      </c>
      <c r="E133" s="89" t="s">
        <v>145</v>
      </c>
      <c r="F133" s="75"/>
      <c r="G133" s="75">
        <f>H133-F133</f>
        <v>0</v>
      </c>
      <c r="H133" s="75">
        <f>19470-19470</f>
        <v>0</v>
      </c>
      <c r="I133" s="130"/>
      <c r="J133" s="130"/>
      <c r="K133" s="130"/>
      <c r="L133" s="130"/>
      <c r="M133" s="130"/>
      <c r="N133" s="130"/>
      <c r="O133" s="130"/>
      <c r="P133" s="130"/>
      <c r="Q133" s="131"/>
      <c r="R133" s="131"/>
      <c r="S133" s="133"/>
      <c r="T133" s="133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2"/>
      <c r="AE133" s="132"/>
      <c r="AF133" s="133"/>
      <c r="AG133" s="132"/>
      <c r="AH133" s="132"/>
      <c r="AI133" s="132"/>
      <c r="AJ133" s="132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19"/>
      <c r="AU133" s="119"/>
      <c r="AV133" s="119"/>
      <c r="AW133" s="119"/>
      <c r="AX133" s="119"/>
      <c r="AY133" s="133"/>
      <c r="AZ133" s="133"/>
      <c r="BA133" s="133"/>
      <c r="BB133" s="133"/>
      <c r="BC133" s="133"/>
      <c r="BD133" s="118"/>
      <c r="BE133" s="118"/>
      <c r="BF133" s="131"/>
      <c r="BG133" s="131"/>
      <c r="BH133" s="131"/>
      <c r="BI133" s="131"/>
      <c r="BJ133" s="131"/>
      <c r="BK133" s="118"/>
      <c r="BL133" s="118"/>
      <c r="BM133" s="118"/>
      <c r="BN133" s="118"/>
      <c r="BO133" s="118"/>
      <c r="BP133" s="118"/>
      <c r="BQ133" s="131"/>
      <c r="BR133" s="131"/>
      <c r="BS133" s="131"/>
      <c r="BT133" s="131"/>
      <c r="BU133" s="131"/>
      <c r="BV133" s="131"/>
      <c r="BW133" s="131"/>
      <c r="BX133" s="131"/>
      <c r="BY133" s="77" t="e">
        <f t="shared" si="156"/>
        <v>#DIV/0!</v>
      </c>
      <c r="BZ133" s="60" t="e">
        <f>BX133/BV133*100</f>
        <v>#DIV/0!</v>
      </c>
    </row>
    <row r="134" spans="1:78" s="21" customFormat="1" ht="19.5" customHeight="1" hidden="1">
      <c r="A134" s="88" t="s">
        <v>302</v>
      </c>
      <c r="B134" s="89" t="s">
        <v>135</v>
      </c>
      <c r="C134" s="89" t="s">
        <v>142</v>
      </c>
      <c r="D134" s="90" t="s">
        <v>48</v>
      </c>
      <c r="E134" s="89"/>
      <c r="F134" s="91">
        <f>F135</f>
        <v>4574</v>
      </c>
      <c r="G134" s="91">
        <f>G135</f>
        <v>-4574</v>
      </c>
      <c r="H134" s="91">
        <f>H135</f>
        <v>0</v>
      </c>
      <c r="I134" s="91">
        <f aca="true" t="shared" si="164" ref="I134:BJ134">I135</f>
        <v>0</v>
      </c>
      <c r="J134" s="91">
        <f t="shared" si="164"/>
        <v>0</v>
      </c>
      <c r="K134" s="91">
        <f t="shared" si="164"/>
        <v>0</v>
      </c>
      <c r="L134" s="91">
        <f t="shared" si="164"/>
        <v>15938</v>
      </c>
      <c r="M134" s="91">
        <f t="shared" si="164"/>
        <v>15938</v>
      </c>
      <c r="N134" s="91">
        <f t="shared" si="164"/>
        <v>15938</v>
      </c>
      <c r="O134" s="91">
        <f t="shared" si="164"/>
        <v>0</v>
      </c>
      <c r="P134" s="91"/>
      <c r="Q134" s="91">
        <f t="shared" si="164"/>
        <v>0</v>
      </c>
      <c r="R134" s="91">
        <f t="shared" si="164"/>
        <v>0</v>
      </c>
      <c r="S134" s="91">
        <f t="shared" si="164"/>
        <v>15938</v>
      </c>
      <c r="T134" s="91">
        <f t="shared" si="164"/>
        <v>15938</v>
      </c>
      <c r="U134" s="91">
        <f t="shared" si="164"/>
        <v>0</v>
      </c>
      <c r="V134" s="91">
        <f t="shared" si="164"/>
        <v>0</v>
      </c>
      <c r="W134" s="91">
        <f t="shared" si="164"/>
        <v>0</v>
      </c>
      <c r="X134" s="91">
        <f t="shared" si="164"/>
        <v>0</v>
      </c>
      <c r="Y134" s="91">
        <f t="shared" si="164"/>
        <v>0</v>
      </c>
      <c r="Z134" s="91">
        <f t="shared" si="164"/>
        <v>0</v>
      </c>
      <c r="AA134" s="91">
        <f t="shared" si="164"/>
        <v>0</v>
      </c>
      <c r="AB134" s="91">
        <f t="shared" si="164"/>
        <v>15938</v>
      </c>
      <c r="AC134" s="91">
        <f t="shared" si="164"/>
        <v>15938</v>
      </c>
      <c r="AD134" s="91">
        <f t="shared" si="164"/>
        <v>0</v>
      </c>
      <c r="AE134" s="91">
        <f t="shared" si="164"/>
        <v>5</v>
      </c>
      <c r="AF134" s="91">
        <f t="shared" si="164"/>
        <v>0</v>
      </c>
      <c r="AG134" s="91">
        <f t="shared" si="164"/>
        <v>0</v>
      </c>
      <c r="AH134" s="91">
        <f t="shared" si="164"/>
        <v>0</v>
      </c>
      <c r="AI134" s="91">
        <f t="shared" si="164"/>
        <v>15943</v>
      </c>
      <c r="AJ134" s="91">
        <f t="shared" si="164"/>
        <v>15938</v>
      </c>
      <c r="AK134" s="91">
        <f t="shared" si="164"/>
        <v>0</v>
      </c>
      <c r="AL134" s="91">
        <f t="shared" si="164"/>
        <v>15943</v>
      </c>
      <c r="AM134" s="91">
        <f t="shared" si="164"/>
        <v>15938</v>
      </c>
      <c r="AN134" s="91">
        <f t="shared" si="164"/>
        <v>0</v>
      </c>
      <c r="AO134" s="91">
        <f t="shared" si="164"/>
        <v>8</v>
      </c>
      <c r="AP134" s="91">
        <f t="shared" si="164"/>
        <v>0</v>
      </c>
      <c r="AQ134" s="91">
        <f t="shared" si="164"/>
        <v>15000</v>
      </c>
      <c r="AR134" s="91">
        <f t="shared" si="164"/>
        <v>30951</v>
      </c>
      <c r="AS134" s="91">
        <f t="shared" si="164"/>
        <v>30938</v>
      </c>
      <c r="AT134" s="92">
        <f t="shared" si="164"/>
        <v>0</v>
      </c>
      <c r="AU134" s="92">
        <f t="shared" si="164"/>
        <v>0</v>
      </c>
      <c r="AV134" s="92">
        <f t="shared" si="164"/>
        <v>0</v>
      </c>
      <c r="AW134" s="92">
        <f t="shared" si="164"/>
        <v>30951</v>
      </c>
      <c r="AX134" s="92">
        <f t="shared" si="164"/>
        <v>30938</v>
      </c>
      <c r="AY134" s="91">
        <f t="shared" si="164"/>
        <v>0</v>
      </c>
      <c r="AZ134" s="91">
        <f t="shared" si="164"/>
        <v>0</v>
      </c>
      <c r="BA134" s="91">
        <f t="shared" si="164"/>
        <v>500</v>
      </c>
      <c r="BB134" s="91">
        <f t="shared" si="164"/>
        <v>0</v>
      </c>
      <c r="BC134" s="91">
        <f t="shared" si="164"/>
        <v>0</v>
      </c>
      <c r="BD134" s="91">
        <f t="shared" si="164"/>
        <v>31451</v>
      </c>
      <c r="BE134" s="91">
        <f t="shared" si="164"/>
        <v>30938</v>
      </c>
      <c r="BF134" s="91">
        <f t="shared" si="164"/>
        <v>0</v>
      </c>
      <c r="BG134" s="91">
        <f t="shared" si="164"/>
        <v>0</v>
      </c>
      <c r="BH134" s="91">
        <f t="shared" si="164"/>
        <v>0</v>
      </c>
      <c r="BI134" s="91">
        <f t="shared" si="164"/>
        <v>31451</v>
      </c>
      <c r="BJ134" s="91">
        <f t="shared" si="164"/>
        <v>30938</v>
      </c>
      <c r="BK134" s="91">
        <f aca="true" t="shared" si="165" ref="BK134:BV134">BK135+BK136</f>
        <v>4</v>
      </c>
      <c r="BL134" s="91">
        <f t="shared" si="165"/>
        <v>0</v>
      </c>
      <c r="BM134" s="91">
        <f t="shared" si="165"/>
        <v>2314</v>
      </c>
      <c r="BN134" s="91">
        <f t="shared" si="165"/>
        <v>0</v>
      </c>
      <c r="BO134" s="91">
        <f t="shared" si="165"/>
        <v>33769</v>
      </c>
      <c r="BP134" s="91">
        <f t="shared" si="165"/>
        <v>30938</v>
      </c>
      <c r="BQ134" s="91">
        <f t="shared" si="165"/>
        <v>0</v>
      </c>
      <c r="BR134" s="91"/>
      <c r="BS134" s="91">
        <f t="shared" si="165"/>
        <v>-60</v>
      </c>
      <c r="BT134" s="91">
        <f t="shared" si="165"/>
        <v>0</v>
      </c>
      <c r="BU134" s="91">
        <f t="shared" si="165"/>
        <v>33709</v>
      </c>
      <c r="BV134" s="91">
        <f t="shared" si="165"/>
        <v>30938</v>
      </c>
      <c r="BW134" s="91">
        <f>BW135+BW136+BW138</f>
        <v>20907</v>
      </c>
      <c r="BX134" s="91">
        <f>BX135+BX136+BX138</f>
        <v>18338</v>
      </c>
      <c r="BY134" s="77">
        <f t="shared" si="156"/>
        <v>62.022011925598505</v>
      </c>
      <c r="BZ134" s="77">
        <f>BX134/BV134*100</f>
        <v>59.273385480638694</v>
      </c>
    </row>
    <row r="135" spans="1:78" s="21" customFormat="1" ht="70.5" customHeight="1" hidden="1">
      <c r="A135" s="88" t="s">
        <v>138</v>
      </c>
      <c r="B135" s="89" t="s">
        <v>135</v>
      </c>
      <c r="C135" s="89" t="s">
        <v>142</v>
      </c>
      <c r="D135" s="90" t="s">
        <v>48</v>
      </c>
      <c r="E135" s="89" t="s">
        <v>139</v>
      </c>
      <c r="F135" s="75">
        <v>4574</v>
      </c>
      <c r="G135" s="75">
        <f>H135-F135</f>
        <v>-4574</v>
      </c>
      <c r="H135" s="75">
        <f>4574-4574</f>
        <v>0</v>
      </c>
      <c r="I135" s="134"/>
      <c r="J135" s="134"/>
      <c r="K135" s="134"/>
      <c r="L135" s="75">
        <v>15938</v>
      </c>
      <c r="M135" s="75">
        <f>H135+J135+K135+L135</f>
        <v>15938</v>
      </c>
      <c r="N135" s="75">
        <f>I135+L135</f>
        <v>15938</v>
      </c>
      <c r="O135" s="134"/>
      <c r="P135" s="134"/>
      <c r="Q135" s="78"/>
      <c r="R135" s="134"/>
      <c r="S135" s="75">
        <f>M135+O135+P135+Q135+R135</f>
        <v>15938</v>
      </c>
      <c r="T135" s="75">
        <f>N135+R135</f>
        <v>15938</v>
      </c>
      <c r="U135" s="134"/>
      <c r="V135" s="62"/>
      <c r="W135" s="134"/>
      <c r="X135" s="134"/>
      <c r="Y135" s="134"/>
      <c r="Z135" s="134"/>
      <c r="AA135" s="134"/>
      <c r="AB135" s="75">
        <f>S135+U135+V135+W135+X135+Y135+Z135+AA135</f>
        <v>15938</v>
      </c>
      <c r="AC135" s="75">
        <f>T135+Z135+AA135</f>
        <v>15938</v>
      </c>
      <c r="AD135" s="135"/>
      <c r="AE135" s="75">
        <v>5</v>
      </c>
      <c r="AF135" s="136"/>
      <c r="AG135" s="135"/>
      <c r="AH135" s="135"/>
      <c r="AI135" s="75">
        <f>AB135+AD135+AE135+AF135+AG135+AH135</f>
        <v>15943</v>
      </c>
      <c r="AJ135" s="75">
        <f>AC135+AH135</f>
        <v>15938</v>
      </c>
      <c r="AK135" s="134"/>
      <c r="AL135" s="75">
        <f>AI135+AK135</f>
        <v>15943</v>
      </c>
      <c r="AM135" s="75">
        <f>AJ135</f>
        <v>15938</v>
      </c>
      <c r="AN135" s="134"/>
      <c r="AO135" s="78">
        <f>4+4</f>
        <v>8</v>
      </c>
      <c r="AP135" s="134"/>
      <c r="AQ135" s="75">
        <v>15000</v>
      </c>
      <c r="AR135" s="75">
        <f>AL135+AN135+AO135+AP135+AQ135</f>
        <v>30951</v>
      </c>
      <c r="AS135" s="75">
        <f>AM135+AQ135</f>
        <v>30938</v>
      </c>
      <c r="AT135" s="76"/>
      <c r="AU135" s="76"/>
      <c r="AV135" s="76"/>
      <c r="AW135" s="76">
        <f>AV135+AU135+AT135+AR135</f>
        <v>30951</v>
      </c>
      <c r="AX135" s="76">
        <f>AV135+AS135</f>
        <v>30938</v>
      </c>
      <c r="AY135" s="136"/>
      <c r="AZ135" s="75"/>
      <c r="BA135" s="75">
        <v>500</v>
      </c>
      <c r="BB135" s="75"/>
      <c r="BC135" s="136"/>
      <c r="BD135" s="75">
        <f>AW135+AY135+AZ135+BA135+BB135+BC135</f>
        <v>31451</v>
      </c>
      <c r="BE135" s="75">
        <f>AX135+BC135</f>
        <v>30938</v>
      </c>
      <c r="BF135" s="75"/>
      <c r="BG135" s="134"/>
      <c r="BH135" s="134"/>
      <c r="BI135" s="75">
        <f>BD135+BF135+BG135+BH135</f>
        <v>31451</v>
      </c>
      <c r="BJ135" s="75">
        <f>BE135+BH135</f>
        <v>30938</v>
      </c>
      <c r="BK135" s="78">
        <v>4</v>
      </c>
      <c r="BL135" s="137"/>
      <c r="BM135" s="75">
        <f>-1+2315</f>
        <v>2314</v>
      </c>
      <c r="BN135" s="137"/>
      <c r="BO135" s="75">
        <f>BI135+BK135+BL135+BM135+BN135</f>
        <v>33769</v>
      </c>
      <c r="BP135" s="75">
        <f>BJ135+BN135</f>
        <v>30938</v>
      </c>
      <c r="BQ135" s="134"/>
      <c r="BR135" s="134"/>
      <c r="BS135" s="75">
        <f>-2227-60</f>
        <v>-2287</v>
      </c>
      <c r="BT135" s="134"/>
      <c r="BU135" s="75">
        <f>BO135+BQ135+BS135+BT135</f>
        <v>31482</v>
      </c>
      <c r="BV135" s="75">
        <f>BP135+BT135</f>
        <v>30938</v>
      </c>
      <c r="BW135" s="75">
        <v>342</v>
      </c>
      <c r="BX135" s="75"/>
      <c r="BY135" s="77">
        <f t="shared" si="156"/>
        <v>1.0863350485991996</v>
      </c>
      <c r="BZ135" s="60">
        <f>BX135/BV135*100</f>
        <v>0</v>
      </c>
    </row>
    <row r="136" spans="1:78" s="21" customFormat="1" ht="144" customHeight="1" hidden="1">
      <c r="A136" s="88" t="s">
        <v>381</v>
      </c>
      <c r="B136" s="89" t="s">
        <v>135</v>
      </c>
      <c r="C136" s="89" t="s">
        <v>142</v>
      </c>
      <c r="D136" s="90" t="s">
        <v>373</v>
      </c>
      <c r="E136" s="89"/>
      <c r="F136" s="75"/>
      <c r="G136" s="75"/>
      <c r="H136" s="75"/>
      <c r="I136" s="134"/>
      <c r="J136" s="134"/>
      <c r="K136" s="134"/>
      <c r="L136" s="75"/>
      <c r="M136" s="75"/>
      <c r="N136" s="75"/>
      <c r="O136" s="134"/>
      <c r="P136" s="134"/>
      <c r="Q136" s="78"/>
      <c r="R136" s="134"/>
      <c r="S136" s="75"/>
      <c r="T136" s="75"/>
      <c r="U136" s="134"/>
      <c r="V136" s="62"/>
      <c r="W136" s="134"/>
      <c r="X136" s="134"/>
      <c r="Y136" s="134"/>
      <c r="Z136" s="134"/>
      <c r="AA136" s="134"/>
      <c r="AB136" s="75"/>
      <c r="AC136" s="75"/>
      <c r="AD136" s="135"/>
      <c r="AE136" s="75"/>
      <c r="AF136" s="136"/>
      <c r="AG136" s="135"/>
      <c r="AH136" s="135"/>
      <c r="AI136" s="75"/>
      <c r="AJ136" s="75"/>
      <c r="AK136" s="134"/>
      <c r="AL136" s="75"/>
      <c r="AM136" s="75"/>
      <c r="AN136" s="134"/>
      <c r="AO136" s="78"/>
      <c r="AP136" s="134"/>
      <c r="AQ136" s="75"/>
      <c r="AR136" s="75"/>
      <c r="AS136" s="75"/>
      <c r="AT136" s="76"/>
      <c r="AU136" s="76"/>
      <c r="AV136" s="76"/>
      <c r="AW136" s="76"/>
      <c r="AX136" s="76"/>
      <c r="AY136" s="136"/>
      <c r="AZ136" s="75"/>
      <c r="BA136" s="75"/>
      <c r="BB136" s="75"/>
      <c r="BC136" s="136"/>
      <c r="BD136" s="75"/>
      <c r="BE136" s="75"/>
      <c r="BF136" s="75"/>
      <c r="BG136" s="134"/>
      <c r="BH136" s="134"/>
      <c r="BI136" s="75"/>
      <c r="BJ136" s="75"/>
      <c r="BK136" s="137">
        <f aca="true" t="shared" si="166" ref="BK136:BP136">BK137</f>
        <v>0</v>
      </c>
      <c r="BL136" s="137">
        <f t="shared" si="166"/>
        <v>0</v>
      </c>
      <c r="BM136" s="75">
        <f t="shared" si="166"/>
        <v>0</v>
      </c>
      <c r="BN136" s="137">
        <f t="shared" si="166"/>
        <v>0</v>
      </c>
      <c r="BO136" s="75">
        <f t="shared" si="166"/>
        <v>0</v>
      </c>
      <c r="BP136" s="75">
        <f t="shared" si="166"/>
        <v>0</v>
      </c>
      <c r="BQ136" s="134">
        <f>BQ137</f>
        <v>0</v>
      </c>
      <c r="BR136" s="134"/>
      <c r="BS136" s="75">
        <f aca="true" t="shared" si="167" ref="BS136:BX136">BS137</f>
        <v>2227</v>
      </c>
      <c r="BT136" s="134">
        <f t="shared" si="167"/>
        <v>0</v>
      </c>
      <c r="BU136" s="75">
        <f t="shared" si="167"/>
        <v>2227</v>
      </c>
      <c r="BV136" s="135">
        <f t="shared" si="167"/>
        <v>0</v>
      </c>
      <c r="BW136" s="75">
        <f t="shared" si="167"/>
        <v>2227</v>
      </c>
      <c r="BX136" s="135">
        <f t="shared" si="167"/>
        <v>0</v>
      </c>
      <c r="BY136" s="77">
        <f t="shared" si="156"/>
        <v>100</v>
      </c>
      <c r="BZ136" s="60"/>
    </row>
    <row r="137" spans="1:78" s="21" customFormat="1" ht="91.5" customHeight="1" hidden="1">
      <c r="A137" s="88" t="s">
        <v>319</v>
      </c>
      <c r="B137" s="89" t="s">
        <v>135</v>
      </c>
      <c r="C137" s="89" t="s">
        <v>142</v>
      </c>
      <c r="D137" s="90" t="s">
        <v>373</v>
      </c>
      <c r="E137" s="89" t="s">
        <v>271</v>
      </c>
      <c r="F137" s="75"/>
      <c r="G137" s="75"/>
      <c r="H137" s="75"/>
      <c r="I137" s="134"/>
      <c r="J137" s="134"/>
      <c r="K137" s="134"/>
      <c r="L137" s="75"/>
      <c r="M137" s="75"/>
      <c r="N137" s="75"/>
      <c r="O137" s="134"/>
      <c r="P137" s="134"/>
      <c r="Q137" s="78"/>
      <c r="R137" s="134"/>
      <c r="S137" s="75"/>
      <c r="T137" s="75"/>
      <c r="U137" s="134"/>
      <c r="V137" s="62"/>
      <c r="W137" s="134"/>
      <c r="X137" s="134"/>
      <c r="Y137" s="134"/>
      <c r="Z137" s="134"/>
      <c r="AA137" s="134"/>
      <c r="AB137" s="75"/>
      <c r="AC137" s="75"/>
      <c r="AD137" s="135"/>
      <c r="AE137" s="75"/>
      <c r="AF137" s="136"/>
      <c r="AG137" s="135"/>
      <c r="AH137" s="135"/>
      <c r="AI137" s="75"/>
      <c r="AJ137" s="75"/>
      <c r="AK137" s="134"/>
      <c r="AL137" s="75"/>
      <c r="AM137" s="75"/>
      <c r="AN137" s="134"/>
      <c r="AO137" s="78"/>
      <c r="AP137" s="134"/>
      <c r="AQ137" s="75"/>
      <c r="AR137" s="75"/>
      <c r="AS137" s="75"/>
      <c r="AT137" s="76"/>
      <c r="AU137" s="76"/>
      <c r="AV137" s="76"/>
      <c r="AW137" s="76"/>
      <c r="AX137" s="76"/>
      <c r="AY137" s="136"/>
      <c r="AZ137" s="75"/>
      <c r="BA137" s="75"/>
      <c r="BB137" s="75"/>
      <c r="BC137" s="136"/>
      <c r="BD137" s="75"/>
      <c r="BE137" s="75"/>
      <c r="BF137" s="75"/>
      <c r="BG137" s="134"/>
      <c r="BH137" s="134"/>
      <c r="BI137" s="75"/>
      <c r="BJ137" s="75"/>
      <c r="BK137" s="137"/>
      <c r="BL137" s="137"/>
      <c r="BM137" s="75"/>
      <c r="BN137" s="137"/>
      <c r="BO137" s="75">
        <f>BI137+BK137+BL137+BM137+BN137</f>
        <v>0</v>
      </c>
      <c r="BP137" s="75">
        <f>BJ137+BN137</f>
        <v>0</v>
      </c>
      <c r="BQ137" s="134"/>
      <c r="BR137" s="134"/>
      <c r="BS137" s="75">
        <v>2227</v>
      </c>
      <c r="BT137" s="134"/>
      <c r="BU137" s="75">
        <f>BO137+BQ137+BS137+BT137</f>
        <v>2227</v>
      </c>
      <c r="BV137" s="75">
        <f>BP137+BT137</f>
        <v>0</v>
      </c>
      <c r="BW137" s="75">
        <v>2227</v>
      </c>
      <c r="BX137" s="75">
        <f>BR137+BV137</f>
        <v>0</v>
      </c>
      <c r="BY137" s="77">
        <f t="shared" si="156"/>
        <v>100</v>
      </c>
      <c r="BZ137" s="60"/>
    </row>
    <row r="138" spans="1:78" s="21" customFormat="1" ht="53.25" customHeight="1" hidden="1">
      <c r="A138" s="138" t="s">
        <v>390</v>
      </c>
      <c r="B138" s="89" t="s">
        <v>135</v>
      </c>
      <c r="C138" s="89" t="s">
        <v>142</v>
      </c>
      <c r="D138" s="139" t="s">
        <v>391</v>
      </c>
      <c r="E138" s="89"/>
      <c r="F138" s="75"/>
      <c r="G138" s="75"/>
      <c r="H138" s="75"/>
      <c r="I138" s="134"/>
      <c r="J138" s="134"/>
      <c r="K138" s="134"/>
      <c r="L138" s="75"/>
      <c r="M138" s="75"/>
      <c r="N138" s="75"/>
      <c r="O138" s="134"/>
      <c r="P138" s="134"/>
      <c r="Q138" s="78"/>
      <c r="R138" s="134"/>
      <c r="S138" s="75"/>
      <c r="T138" s="75"/>
      <c r="U138" s="134"/>
      <c r="V138" s="62"/>
      <c r="W138" s="134"/>
      <c r="X138" s="134"/>
      <c r="Y138" s="134"/>
      <c r="Z138" s="134"/>
      <c r="AA138" s="134"/>
      <c r="AB138" s="75"/>
      <c r="AC138" s="75"/>
      <c r="AD138" s="135"/>
      <c r="AE138" s="75"/>
      <c r="AF138" s="136"/>
      <c r="AG138" s="135"/>
      <c r="AH138" s="135"/>
      <c r="AI138" s="75"/>
      <c r="AJ138" s="75"/>
      <c r="AK138" s="134"/>
      <c r="AL138" s="75"/>
      <c r="AM138" s="75"/>
      <c r="AN138" s="134"/>
      <c r="AO138" s="78"/>
      <c r="AP138" s="134"/>
      <c r="AQ138" s="75"/>
      <c r="AR138" s="75"/>
      <c r="AS138" s="75"/>
      <c r="AT138" s="76"/>
      <c r="AU138" s="76"/>
      <c r="AV138" s="76"/>
      <c r="AW138" s="76"/>
      <c r="AX138" s="76"/>
      <c r="AY138" s="136"/>
      <c r="AZ138" s="75"/>
      <c r="BA138" s="75"/>
      <c r="BB138" s="75"/>
      <c r="BC138" s="136"/>
      <c r="BD138" s="75"/>
      <c r="BE138" s="75"/>
      <c r="BF138" s="75"/>
      <c r="BG138" s="134"/>
      <c r="BH138" s="134"/>
      <c r="BI138" s="75"/>
      <c r="BJ138" s="75"/>
      <c r="BK138" s="137"/>
      <c r="BL138" s="137"/>
      <c r="BM138" s="75"/>
      <c r="BN138" s="137"/>
      <c r="BO138" s="75"/>
      <c r="BP138" s="75"/>
      <c r="BQ138" s="134"/>
      <c r="BR138" s="134"/>
      <c r="BS138" s="75"/>
      <c r="BT138" s="134"/>
      <c r="BU138" s="75"/>
      <c r="BV138" s="75"/>
      <c r="BW138" s="75">
        <f>BW140+BW139</f>
        <v>18338</v>
      </c>
      <c r="BX138" s="75">
        <f>BX140+BX139</f>
        <v>18338</v>
      </c>
      <c r="BY138" s="77"/>
      <c r="BZ138" s="60"/>
    </row>
    <row r="139" spans="1:78" s="21" customFormat="1" ht="72" customHeight="1" hidden="1">
      <c r="A139" s="88" t="s">
        <v>138</v>
      </c>
      <c r="B139" s="89" t="s">
        <v>135</v>
      </c>
      <c r="C139" s="89" t="s">
        <v>142</v>
      </c>
      <c r="D139" s="139" t="s">
        <v>391</v>
      </c>
      <c r="E139" s="89" t="s">
        <v>139</v>
      </c>
      <c r="F139" s="75"/>
      <c r="G139" s="75"/>
      <c r="H139" s="75"/>
      <c r="I139" s="134"/>
      <c r="J139" s="134"/>
      <c r="K139" s="134"/>
      <c r="L139" s="75"/>
      <c r="M139" s="75"/>
      <c r="N139" s="75"/>
      <c r="O139" s="134"/>
      <c r="P139" s="134"/>
      <c r="Q139" s="78"/>
      <c r="R139" s="134"/>
      <c r="S139" s="75"/>
      <c r="T139" s="75"/>
      <c r="U139" s="134"/>
      <c r="V139" s="62"/>
      <c r="W139" s="134"/>
      <c r="X139" s="134"/>
      <c r="Y139" s="134"/>
      <c r="Z139" s="134"/>
      <c r="AA139" s="134"/>
      <c r="AB139" s="75"/>
      <c r="AC139" s="75"/>
      <c r="AD139" s="135"/>
      <c r="AE139" s="75"/>
      <c r="AF139" s="136"/>
      <c r="AG139" s="135"/>
      <c r="AH139" s="135"/>
      <c r="AI139" s="75"/>
      <c r="AJ139" s="75"/>
      <c r="AK139" s="134"/>
      <c r="AL139" s="75"/>
      <c r="AM139" s="75"/>
      <c r="AN139" s="134"/>
      <c r="AO139" s="78"/>
      <c r="AP139" s="134"/>
      <c r="AQ139" s="75"/>
      <c r="AR139" s="75"/>
      <c r="AS139" s="75"/>
      <c r="AT139" s="76"/>
      <c r="AU139" s="76"/>
      <c r="AV139" s="76"/>
      <c r="AW139" s="76"/>
      <c r="AX139" s="76"/>
      <c r="AY139" s="136"/>
      <c r="AZ139" s="75"/>
      <c r="BA139" s="75"/>
      <c r="BB139" s="75"/>
      <c r="BC139" s="136"/>
      <c r="BD139" s="75"/>
      <c r="BE139" s="75"/>
      <c r="BF139" s="75"/>
      <c r="BG139" s="134"/>
      <c r="BH139" s="134"/>
      <c r="BI139" s="75"/>
      <c r="BJ139" s="75"/>
      <c r="BK139" s="137"/>
      <c r="BL139" s="137"/>
      <c r="BM139" s="75"/>
      <c r="BN139" s="137"/>
      <c r="BO139" s="75"/>
      <c r="BP139" s="75"/>
      <c r="BQ139" s="134"/>
      <c r="BR139" s="134"/>
      <c r="BS139" s="75"/>
      <c r="BT139" s="134"/>
      <c r="BU139" s="75"/>
      <c r="BV139" s="75"/>
      <c r="BW139" s="75">
        <v>14860</v>
      </c>
      <c r="BX139" s="75">
        <v>14860</v>
      </c>
      <c r="BY139" s="77"/>
      <c r="BZ139" s="60"/>
    </row>
    <row r="140" spans="1:78" s="21" customFormat="1" ht="89.25" customHeight="1" hidden="1">
      <c r="A140" s="88" t="s">
        <v>359</v>
      </c>
      <c r="B140" s="89" t="s">
        <v>135</v>
      </c>
      <c r="C140" s="89" t="s">
        <v>142</v>
      </c>
      <c r="D140" s="139" t="s">
        <v>391</v>
      </c>
      <c r="E140" s="89" t="s">
        <v>145</v>
      </c>
      <c r="F140" s="75"/>
      <c r="G140" s="75"/>
      <c r="H140" s="75"/>
      <c r="I140" s="134"/>
      <c r="J140" s="134"/>
      <c r="K140" s="134"/>
      <c r="L140" s="75"/>
      <c r="M140" s="75"/>
      <c r="N140" s="75"/>
      <c r="O140" s="134"/>
      <c r="P140" s="134"/>
      <c r="Q140" s="78"/>
      <c r="R140" s="134"/>
      <c r="S140" s="75"/>
      <c r="T140" s="75"/>
      <c r="U140" s="134"/>
      <c r="V140" s="62"/>
      <c r="W140" s="134"/>
      <c r="X140" s="134"/>
      <c r="Y140" s="134"/>
      <c r="Z140" s="134"/>
      <c r="AA140" s="134"/>
      <c r="AB140" s="75"/>
      <c r="AC140" s="75"/>
      <c r="AD140" s="135"/>
      <c r="AE140" s="75"/>
      <c r="AF140" s="136"/>
      <c r="AG140" s="135"/>
      <c r="AH140" s="135"/>
      <c r="AI140" s="75"/>
      <c r="AJ140" s="75"/>
      <c r="AK140" s="134"/>
      <c r="AL140" s="75"/>
      <c r="AM140" s="75"/>
      <c r="AN140" s="134"/>
      <c r="AO140" s="78"/>
      <c r="AP140" s="134"/>
      <c r="AQ140" s="75"/>
      <c r="AR140" s="75"/>
      <c r="AS140" s="75"/>
      <c r="AT140" s="76"/>
      <c r="AU140" s="76"/>
      <c r="AV140" s="76"/>
      <c r="AW140" s="76"/>
      <c r="AX140" s="76"/>
      <c r="AY140" s="136"/>
      <c r="AZ140" s="75"/>
      <c r="BA140" s="75"/>
      <c r="BB140" s="75"/>
      <c r="BC140" s="136"/>
      <c r="BD140" s="75"/>
      <c r="BE140" s="75"/>
      <c r="BF140" s="75"/>
      <c r="BG140" s="134"/>
      <c r="BH140" s="134"/>
      <c r="BI140" s="75"/>
      <c r="BJ140" s="75"/>
      <c r="BK140" s="137"/>
      <c r="BL140" s="137"/>
      <c r="BM140" s="75"/>
      <c r="BN140" s="137"/>
      <c r="BO140" s="75"/>
      <c r="BP140" s="75"/>
      <c r="BQ140" s="134"/>
      <c r="BR140" s="134"/>
      <c r="BS140" s="75"/>
      <c r="BT140" s="134"/>
      <c r="BU140" s="75"/>
      <c r="BV140" s="75"/>
      <c r="BW140" s="75">
        <v>3478</v>
      </c>
      <c r="BX140" s="75">
        <v>3478</v>
      </c>
      <c r="BY140" s="77"/>
      <c r="BZ140" s="60"/>
    </row>
    <row r="141" spans="1:78" s="21" customFormat="1" ht="21" customHeight="1" hidden="1">
      <c r="A141" s="138" t="s">
        <v>214</v>
      </c>
      <c r="B141" s="89" t="s">
        <v>135</v>
      </c>
      <c r="C141" s="89" t="s">
        <v>142</v>
      </c>
      <c r="D141" s="139" t="s">
        <v>213</v>
      </c>
      <c r="E141" s="89"/>
      <c r="F141" s="75"/>
      <c r="G141" s="75"/>
      <c r="H141" s="75"/>
      <c r="I141" s="134"/>
      <c r="J141" s="134"/>
      <c r="K141" s="134"/>
      <c r="L141" s="75"/>
      <c r="M141" s="75"/>
      <c r="N141" s="75"/>
      <c r="O141" s="134"/>
      <c r="P141" s="134"/>
      <c r="Q141" s="78"/>
      <c r="R141" s="134"/>
      <c r="S141" s="75"/>
      <c r="T141" s="75"/>
      <c r="U141" s="134"/>
      <c r="V141" s="62"/>
      <c r="W141" s="134"/>
      <c r="X141" s="134"/>
      <c r="Y141" s="134"/>
      <c r="Z141" s="134"/>
      <c r="AA141" s="134"/>
      <c r="AB141" s="75"/>
      <c r="AC141" s="75"/>
      <c r="AD141" s="135"/>
      <c r="AE141" s="75"/>
      <c r="AF141" s="136"/>
      <c r="AG141" s="135"/>
      <c r="AH141" s="135"/>
      <c r="AI141" s="75"/>
      <c r="AJ141" s="75"/>
      <c r="AK141" s="134"/>
      <c r="AL141" s="75"/>
      <c r="AM141" s="75"/>
      <c r="AN141" s="134"/>
      <c r="AO141" s="78"/>
      <c r="AP141" s="134"/>
      <c r="AQ141" s="75"/>
      <c r="AR141" s="75"/>
      <c r="AS141" s="75"/>
      <c r="AT141" s="76"/>
      <c r="AU141" s="76"/>
      <c r="AV141" s="76"/>
      <c r="AW141" s="76"/>
      <c r="AX141" s="76"/>
      <c r="AY141" s="136"/>
      <c r="AZ141" s="75"/>
      <c r="BA141" s="75"/>
      <c r="BB141" s="75"/>
      <c r="BC141" s="136"/>
      <c r="BD141" s="75"/>
      <c r="BE141" s="75"/>
      <c r="BF141" s="75"/>
      <c r="BG141" s="134"/>
      <c r="BH141" s="134"/>
      <c r="BI141" s="75"/>
      <c r="BJ141" s="75"/>
      <c r="BK141" s="137"/>
      <c r="BL141" s="137"/>
      <c r="BM141" s="75"/>
      <c r="BN141" s="137"/>
      <c r="BO141" s="75"/>
      <c r="BP141" s="75"/>
      <c r="BQ141" s="134"/>
      <c r="BR141" s="134"/>
      <c r="BS141" s="75"/>
      <c r="BT141" s="134"/>
      <c r="BU141" s="75"/>
      <c r="BV141" s="75"/>
      <c r="BW141" s="75">
        <f>BW142+BW144</f>
        <v>20588</v>
      </c>
      <c r="BX141" s="75">
        <f>BX142+BX144</f>
        <v>20588</v>
      </c>
      <c r="BY141" s="77"/>
      <c r="BZ141" s="60"/>
    </row>
    <row r="142" spans="1:78" s="21" customFormat="1" ht="65.25" customHeight="1" hidden="1">
      <c r="A142" s="138" t="s">
        <v>399</v>
      </c>
      <c r="B142" s="89" t="s">
        <v>135</v>
      </c>
      <c r="C142" s="89" t="s">
        <v>142</v>
      </c>
      <c r="D142" s="139" t="s">
        <v>393</v>
      </c>
      <c r="E142" s="89"/>
      <c r="F142" s="75"/>
      <c r="G142" s="75"/>
      <c r="H142" s="75"/>
      <c r="I142" s="134"/>
      <c r="J142" s="134"/>
      <c r="K142" s="134"/>
      <c r="L142" s="75"/>
      <c r="M142" s="75"/>
      <c r="N142" s="75"/>
      <c r="O142" s="134"/>
      <c r="P142" s="134"/>
      <c r="Q142" s="78"/>
      <c r="R142" s="134"/>
      <c r="S142" s="75"/>
      <c r="T142" s="75"/>
      <c r="U142" s="134"/>
      <c r="V142" s="62"/>
      <c r="W142" s="134"/>
      <c r="X142" s="134"/>
      <c r="Y142" s="134"/>
      <c r="Z142" s="134"/>
      <c r="AA142" s="134"/>
      <c r="AB142" s="75"/>
      <c r="AC142" s="75"/>
      <c r="AD142" s="135"/>
      <c r="AE142" s="75"/>
      <c r="AF142" s="136"/>
      <c r="AG142" s="135"/>
      <c r="AH142" s="135"/>
      <c r="AI142" s="75"/>
      <c r="AJ142" s="75"/>
      <c r="AK142" s="134"/>
      <c r="AL142" s="75"/>
      <c r="AM142" s="75"/>
      <c r="AN142" s="134"/>
      <c r="AO142" s="78"/>
      <c r="AP142" s="134"/>
      <c r="AQ142" s="75"/>
      <c r="AR142" s="75"/>
      <c r="AS142" s="75"/>
      <c r="AT142" s="76"/>
      <c r="AU142" s="76"/>
      <c r="AV142" s="76"/>
      <c r="AW142" s="76"/>
      <c r="AX142" s="76"/>
      <c r="AY142" s="136"/>
      <c r="AZ142" s="75"/>
      <c r="BA142" s="75"/>
      <c r="BB142" s="75"/>
      <c r="BC142" s="136"/>
      <c r="BD142" s="75"/>
      <c r="BE142" s="75"/>
      <c r="BF142" s="75"/>
      <c r="BG142" s="134"/>
      <c r="BH142" s="134"/>
      <c r="BI142" s="75"/>
      <c r="BJ142" s="75"/>
      <c r="BK142" s="137"/>
      <c r="BL142" s="137"/>
      <c r="BM142" s="75"/>
      <c r="BN142" s="137"/>
      <c r="BO142" s="75"/>
      <c r="BP142" s="75"/>
      <c r="BQ142" s="134"/>
      <c r="BR142" s="134"/>
      <c r="BS142" s="75"/>
      <c r="BT142" s="134"/>
      <c r="BU142" s="75"/>
      <c r="BV142" s="75"/>
      <c r="BW142" s="75">
        <f>BW143</f>
        <v>15938</v>
      </c>
      <c r="BX142" s="75">
        <f>BX143</f>
        <v>15938</v>
      </c>
      <c r="BY142" s="77"/>
      <c r="BZ142" s="60"/>
    </row>
    <row r="143" spans="1:78" s="21" customFormat="1" ht="68.25" customHeight="1" hidden="1">
      <c r="A143" s="88" t="s">
        <v>138</v>
      </c>
      <c r="B143" s="89" t="s">
        <v>135</v>
      </c>
      <c r="C143" s="89" t="s">
        <v>142</v>
      </c>
      <c r="D143" s="139" t="s">
        <v>393</v>
      </c>
      <c r="E143" s="89" t="s">
        <v>139</v>
      </c>
      <c r="F143" s="75"/>
      <c r="G143" s="75"/>
      <c r="H143" s="75"/>
      <c r="I143" s="134"/>
      <c r="J143" s="134"/>
      <c r="K143" s="134"/>
      <c r="L143" s="75"/>
      <c r="M143" s="75"/>
      <c r="N143" s="75"/>
      <c r="O143" s="134"/>
      <c r="P143" s="134"/>
      <c r="Q143" s="78"/>
      <c r="R143" s="134"/>
      <c r="S143" s="75"/>
      <c r="T143" s="75"/>
      <c r="U143" s="134"/>
      <c r="V143" s="62"/>
      <c r="W143" s="134"/>
      <c r="X143" s="134"/>
      <c r="Y143" s="134"/>
      <c r="Z143" s="134"/>
      <c r="AA143" s="134"/>
      <c r="AB143" s="75"/>
      <c r="AC143" s="75"/>
      <c r="AD143" s="135"/>
      <c r="AE143" s="75"/>
      <c r="AF143" s="136"/>
      <c r="AG143" s="135"/>
      <c r="AH143" s="135"/>
      <c r="AI143" s="75"/>
      <c r="AJ143" s="75"/>
      <c r="AK143" s="134"/>
      <c r="AL143" s="75"/>
      <c r="AM143" s="75"/>
      <c r="AN143" s="134"/>
      <c r="AO143" s="78"/>
      <c r="AP143" s="134"/>
      <c r="AQ143" s="75"/>
      <c r="AR143" s="75"/>
      <c r="AS143" s="75"/>
      <c r="AT143" s="76"/>
      <c r="AU143" s="76"/>
      <c r="AV143" s="76"/>
      <c r="AW143" s="76"/>
      <c r="AX143" s="76"/>
      <c r="AY143" s="136"/>
      <c r="AZ143" s="75"/>
      <c r="BA143" s="75"/>
      <c r="BB143" s="75"/>
      <c r="BC143" s="136"/>
      <c r="BD143" s="75"/>
      <c r="BE143" s="75"/>
      <c r="BF143" s="75"/>
      <c r="BG143" s="134"/>
      <c r="BH143" s="134"/>
      <c r="BI143" s="75"/>
      <c r="BJ143" s="75"/>
      <c r="BK143" s="137"/>
      <c r="BL143" s="137"/>
      <c r="BM143" s="75"/>
      <c r="BN143" s="137"/>
      <c r="BO143" s="75"/>
      <c r="BP143" s="75"/>
      <c r="BQ143" s="134"/>
      <c r="BR143" s="134"/>
      <c r="BS143" s="75"/>
      <c r="BT143" s="134"/>
      <c r="BU143" s="75"/>
      <c r="BV143" s="75"/>
      <c r="BW143" s="75">
        <v>15938</v>
      </c>
      <c r="BX143" s="75">
        <v>15938</v>
      </c>
      <c r="BY143" s="77"/>
      <c r="BZ143" s="60"/>
    </row>
    <row r="144" spans="1:78" s="21" customFormat="1" ht="58.5" customHeight="1" hidden="1">
      <c r="A144" s="138" t="s">
        <v>396</v>
      </c>
      <c r="B144" s="89" t="s">
        <v>135</v>
      </c>
      <c r="C144" s="89" t="s">
        <v>142</v>
      </c>
      <c r="D144" s="139" t="s">
        <v>392</v>
      </c>
      <c r="E144" s="89"/>
      <c r="F144" s="75"/>
      <c r="G144" s="75"/>
      <c r="H144" s="75"/>
      <c r="I144" s="134"/>
      <c r="J144" s="134"/>
      <c r="K144" s="134"/>
      <c r="L144" s="75"/>
      <c r="M144" s="75"/>
      <c r="N144" s="75"/>
      <c r="O144" s="134"/>
      <c r="P144" s="134"/>
      <c r="Q144" s="78"/>
      <c r="R144" s="134"/>
      <c r="S144" s="75"/>
      <c r="T144" s="75"/>
      <c r="U144" s="134"/>
      <c r="V144" s="62"/>
      <c r="W144" s="134"/>
      <c r="X144" s="134"/>
      <c r="Y144" s="134"/>
      <c r="Z144" s="134"/>
      <c r="AA144" s="134"/>
      <c r="AB144" s="75"/>
      <c r="AC144" s="75"/>
      <c r="AD144" s="135"/>
      <c r="AE144" s="75"/>
      <c r="AF144" s="136"/>
      <c r="AG144" s="135"/>
      <c r="AH144" s="135"/>
      <c r="AI144" s="75"/>
      <c r="AJ144" s="75"/>
      <c r="AK144" s="134"/>
      <c r="AL144" s="75"/>
      <c r="AM144" s="75"/>
      <c r="AN144" s="134"/>
      <c r="AO144" s="78"/>
      <c r="AP144" s="134"/>
      <c r="AQ144" s="75"/>
      <c r="AR144" s="75"/>
      <c r="AS144" s="75"/>
      <c r="AT144" s="76"/>
      <c r="AU144" s="76"/>
      <c r="AV144" s="76"/>
      <c r="AW144" s="76"/>
      <c r="AX144" s="76"/>
      <c r="AY144" s="136"/>
      <c r="AZ144" s="75"/>
      <c r="BA144" s="75"/>
      <c r="BB144" s="75"/>
      <c r="BC144" s="136"/>
      <c r="BD144" s="75"/>
      <c r="BE144" s="75"/>
      <c r="BF144" s="75"/>
      <c r="BG144" s="134"/>
      <c r="BH144" s="134"/>
      <c r="BI144" s="75"/>
      <c r="BJ144" s="75"/>
      <c r="BK144" s="137"/>
      <c r="BL144" s="137"/>
      <c r="BM144" s="75"/>
      <c r="BN144" s="137"/>
      <c r="BO144" s="75"/>
      <c r="BP144" s="75"/>
      <c r="BQ144" s="134"/>
      <c r="BR144" s="134"/>
      <c r="BS144" s="75"/>
      <c r="BT144" s="134"/>
      <c r="BU144" s="75"/>
      <c r="BV144" s="75"/>
      <c r="BW144" s="75">
        <f>BW145+BW146+BW147</f>
        <v>4650</v>
      </c>
      <c r="BX144" s="75">
        <f>BX145+BX146+BX147</f>
        <v>4650</v>
      </c>
      <c r="BY144" s="77"/>
      <c r="BZ144" s="60"/>
    </row>
    <row r="145" spans="1:78" s="21" customFormat="1" ht="74.25" customHeight="1" hidden="1">
      <c r="A145" s="88" t="s">
        <v>138</v>
      </c>
      <c r="B145" s="89" t="s">
        <v>135</v>
      </c>
      <c r="C145" s="89" t="s">
        <v>142</v>
      </c>
      <c r="D145" s="139" t="s">
        <v>392</v>
      </c>
      <c r="E145" s="89" t="s">
        <v>139</v>
      </c>
      <c r="F145" s="75"/>
      <c r="G145" s="75"/>
      <c r="H145" s="75"/>
      <c r="I145" s="134"/>
      <c r="J145" s="134"/>
      <c r="K145" s="134"/>
      <c r="L145" s="75"/>
      <c r="M145" s="75"/>
      <c r="N145" s="75"/>
      <c r="O145" s="134"/>
      <c r="P145" s="134"/>
      <c r="Q145" s="78"/>
      <c r="R145" s="134"/>
      <c r="S145" s="75"/>
      <c r="T145" s="75"/>
      <c r="U145" s="134"/>
      <c r="V145" s="62"/>
      <c r="W145" s="134"/>
      <c r="X145" s="134"/>
      <c r="Y145" s="134"/>
      <c r="Z145" s="134"/>
      <c r="AA145" s="134"/>
      <c r="AB145" s="75"/>
      <c r="AC145" s="75"/>
      <c r="AD145" s="135"/>
      <c r="AE145" s="75"/>
      <c r="AF145" s="136"/>
      <c r="AG145" s="135"/>
      <c r="AH145" s="135"/>
      <c r="AI145" s="75"/>
      <c r="AJ145" s="75"/>
      <c r="AK145" s="134"/>
      <c r="AL145" s="75"/>
      <c r="AM145" s="75"/>
      <c r="AN145" s="134"/>
      <c r="AO145" s="78"/>
      <c r="AP145" s="134"/>
      <c r="AQ145" s="75"/>
      <c r="AR145" s="75"/>
      <c r="AS145" s="75"/>
      <c r="AT145" s="76"/>
      <c r="AU145" s="76"/>
      <c r="AV145" s="76"/>
      <c r="AW145" s="76"/>
      <c r="AX145" s="76"/>
      <c r="AY145" s="136"/>
      <c r="AZ145" s="75"/>
      <c r="BA145" s="75"/>
      <c r="BB145" s="75"/>
      <c r="BC145" s="136"/>
      <c r="BD145" s="75"/>
      <c r="BE145" s="75"/>
      <c r="BF145" s="75"/>
      <c r="BG145" s="134"/>
      <c r="BH145" s="134"/>
      <c r="BI145" s="75"/>
      <c r="BJ145" s="75"/>
      <c r="BK145" s="137"/>
      <c r="BL145" s="137"/>
      <c r="BM145" s="75"/>
      <c r="BN145" s="137"/>
      <c r="BO145" s="75"/>
      <c r="BP145" s="75"/>
      <c r="BQ145" s="134"/>
      <c r="BR145" s="134"/>
      <c r="BS145" s="75"/>
      <c r="BT145" s="134"/>
      <c r="BU145" s="75"/>
      <c r="BV145" s="75"/>
      <c r="BW145" s="75">
        <v>424</v>
      </c>
      <c r="BX145" s="75">
        <v>424</v>
      </c>
      <c r="BY145" s="77"/>
      <c r="BZ145" s="60"/>
    </row>
    <row r="146" spans="1:78" s="21" customFormat="1" ht="99.75" customHeight="1" hidden="1">
      <c r="A146" s="88" t="s">
        <v>359</v>
      </c>
      <c r="B146" s="89" t="s">
        <v>135</v>
      </c>
      <c r="C146" s="89" t="s">
        <v>142</v>
      </c>
      <c r="D146" s="139" t="s">
        <v>392</v>
      </c>
      <c r="E146" s="89" t="s">
        <v>145</v>
      </c>
      <c r="F146" s="75"/>
      <c r="G146" s="75"/>
      <c r="H146" s="75"/>
      <c r="I146" s="134"/>
      <c r="J146" s="134"/>
      <c r="K146" s="134"/>
      <c r="L146" s="75"/>
      <c r="M146" s="75"/>
      <c r="N146" s="75"/>
      <c r="O146" s="134"/>
      <c r="P146" s="134"/>
      <c r="Q146" s="78"/>
      <c r="R146" s="134"/>
      <c r="S146" s="75"/>
      <c r="T146" s="75"/>
      <c r="U146" s="134"/>
      <c r="V146" s="62"/>
      <c r="W146" s="134"/>
      <c r="X146" s="134"/>
      <c r="Y146" s="134"/>
      <c r="Z146" s="134"/>
      <c r="AA146" s="134"/>
      <c r="AB146" s="75"/>
      <c r="AC146" s="75"/>
      <c r="AD146" s="135"/>
      <c r="AE146" s="75"/>
      <c r="AF146" s="136"/>
      <c r="AG146" s="135"/>
      <c r="AH146" s="135"/>
      <c r="AI146" s="75"/>
      <c r="AJ146" s="75"/>
      <c r="AK146" s="134"/>
      <c r="AL146" s="75"/>
      <c r="AM146" s="75"/>
      <c r="AN146" s="134"/>
      <c r="AO146" s="78"/>
      <c r="AP146" s="134"/>
      <c r="AQ146" s="75"/>
      <c r="AR146" s="75"/>
      <c r="AS146" s="75"/>
      <c r="AT146" s="76"/>
      <c r="AU146" s="76"/>
      <c r="AV146" s="76"/>
      <c r="AW146" s="76"/>
      <c r="AX146" s="76"/>
      <c r="AY146" s="136"/>
      <c r="AZ146" s="75"/>
      <c r="BA146" s="75"/>
      <c r="BB146" s="75"/>
      <c r="BC146" s="136"/>
      <c r="BD146" s="75"/>
      <c r="BE146" s="75"/>
      <c r="BF146" s="75"/>
      <c r="BG146" s="134"/>
      <c r="BH146" s="134"/>
      <c r="BI146" s="75"/>
      <c r="BJ146" s="75"/>
      <c r="BK146" s="137"/>
      <c r="BL146" s="137"/>
      <c r="BM146" s="75"/>
      <c r="BN146" s="137"/>
      <c r="BO146" s="75"/>
      <c r="BP146" s="75"/>
      <c r="BQ146" s="134"/>
      <c r="BR146" s="134"/>
      <c r="BS146" s="75"/>
      <c r="BT146" s="134"/>
      <c r="BU146" s="75"/>
      <c r="BV146" s="75"/>
      <c r="BW146" s="75">
        <v>2561</v>
      </c>
      <c r="BX146" s="75">
        <v>2561</v>
      </c>
      <c r="BY146" s="77"/>
      <c r="BZ146" s="60"/>
    </row>
    <row r="147" spans="1:78" s="21" customFormat="1" ht="99.75" customHeight="1" hidden="1">
      <c r="A147" s="88" t="s">
        <v>319</v>
      </c>
      <c r="B147" s="89" t="s">
        <v>135</v>
      </c>
      <c r="C147" s="89" t="s">
        <v>142</v>
      </c>
      <c r="D147" s="139" t="s">
        <v>392</v>
      </c>
      <c r="E147" s="89" t="s">
        <v>271</v>
      </c>
      <c r="F147" s="75"/>
      <c r="G147" s="75"/>
      <c r="H147" s="75"/>
      <c r="I147" s="134"/>
      <c r="J147" s="134"/>
      <c r="K147" s="134"/>
      <c r="L147" s="75"/>
      <c r="M147" s="75"/>
      <c r="N147" s="75"/>
      <c r="O147" s="134"/>
      <c r="P147" s="134"/>
      <c r="Q147" s="78"/>
      <c r="R147" s="134"/>
      <c r="S147" s="75"/>
      <c r="T147" s="75"/>
      <c r="U147" s="134"/>
      <c r="V147" s="62"/>
      <c r="W147" s="134"/>
      <c r="X147" s="134"/>
      <c r="Y147" s="134"/>
      <c r="Z147" s="134"/>
      <c r="AA147" s="134"/>
      <c r="AB147" s="75"/>
      <c r="AC147" s="75"/>
      <c r="AD147" s="135"/>
      <c r="AE147" s="75"/>
      <c r="AF147" s="136"/>
      <c r="AG147" s="135"/>
      <c r="AH147" s="135"/>
      <c r="AI147" s="75"/>
      <c r="AJ147" s="75"/>
      <c r="AK147" s="134"/>
      <c r="AL147" s="75"/>
      <c r="AM147" s="75"/>
      <c r="AN147" s="134"/>
      <c r="AO147" s="78"/>
      <c r="AP147" s="134"/>
      <c r="AQ147" s="75"/>
      <c r="AR147" s="75"/>
      <c r="AS147" s="75"/>
      <c r="AT147" s="76"/>
      <c r="AU147" s="76"/>
      <c r="AV147" s="76"/>
      <c r="AW147" s="76"/>
      <c r="AX147" s="76"/>
      <c r="AY147" s="136"/>
      <c r="AZ147" s="75"/>
      <c r="BA147" s="75"/>
      <c r="BB147" s="75"/>
      <c r="BC147" s="136"/>
      <c r="BD147" s="75"/>
      <c r="BE147" s="75"/>
      <c r="BF147" s="75"/>
      <c r="BG147" s="134"/>
      <c r="BH147" s="134"/>
      <c r="BI147" s="75"/>
      <c r="BJ147" s="75"/>
      <c r="BK147" s="137"/>
      <c r="BL147" s="137"/>
      <c r="BM147" s="75"/>
      <c r="BN147" s="137"/>
      <c r="BO147" s="75"/>
      <c r="BP147" s="75"/>
      <c r="BQ147" s="134"/>
      <c r="BR147" s="134"/>
      <c r="BS147" s="75"/>
      <c r="BT147" s="134"/>
      <c r="BU147" s="75"/>
      <c r="BV147" s="75"/>
      <c r="BW147" s="75">
        <v>1665</v>
      </c>
      <c r="BX147" s="75">
        <v>1665</v>
      </c>
      <c r="BY147" s="77"/>
      <c r="BZ147" s="60"/>
    </row>
    <row r="148" spans="1:78" s="21" customFormat="1" ht="38.25" customHeight="1" hidden="1">
      <c r="A148" s="88" t="s">
        <v>121</v>
      </c>
      <c r="B148" s="89" t="s">
        <v>135</v>
      </c>
      <c r="C148" s="89" t="s">
        <v>142</v>
      </c>
      <c r="D148" s="90" t="s">
        <v>122</v>
      </c>
      <c r="E148" s="89"/>
      <c r="F148" s="75"/>
      <c r="G148" s="75">
        <f>G149</f>
        <v>4574</v>
      </c>
      <c r="H148" s="75">
        <f>H149</f>
        <v>4574</v>
      </c>
      <c r="I148" s="75">
        <f aca="true" t="shared" si="168" ref="I148:BP148">I149</f>
        <v>0</v>
      </c>
      <c r="J148" s="75">
        <f t="shared" si="168"/>
        <v>0</v>
      </c>
      <c r="K148" s="75">
        <f t="shared" si="168"/>
        <v>0</v>
      </c>
      <c r="L148" s="75">
        <f t="shared" si="168"/>
        <v>0</v>
      </c>
      <c r="M148" s="75">
        <f t="shared" si="168"/>
        <v>4574</v>
      </c>
      <c r="N148" s="75">
        <f t="shared" si="168"/>
        <v>0</v>
      </c>
      <c r="O148" s="75">
        <f t="shared" si="168"/>
        <v>0</v>
      </c>
      <c r="P148" s="75"/>
      <c r="Q148" s="75">
        <f t="shared" si="168"/>
        <v>0</v>
      </c>
      <c r="R148" s="75">
        <f t="shared" si="168"/>
        <v>0</v>
      </c>
      <c r="S148" s="75">
        <f t="shared" si="168"/>
        <v>4574</v>
      </c>
      <c r="T148" s="75">
        <f t="shared" si="168"/>
        <v>0</v>
      </c>
      <c r="U148" s="75">
        <f t="shared" si="168"/>
        <v>0</v>
      </c>
      <c r="V148" s="75">
        <f t="shared" si="168"/>
        <v>0</v>
      </c>
      <c r="W148" s="75">
        <f t="shared" si="168"/>
        <v>0</v>
      </c>
      <c r="X148" s="75">
        <f t="shared" si="168"/>
        <v>0</v>
      </c>
      <c r="Y148" s="75">
        <f t="shared" si="168"/>
        <v>0</v>
      </c>
      <c r="Z148" s="75">
        <f t="shared" si="168"/>
        <v>0</v>
      </c>
      <c r="AA148" s="75">
        <f t="shared" si="168"/>
        <v>0</v>
      </c>
      <c r="AB148" s="75">
        <f t="shared" si="168"/>
        <v>4574</v>
      </c>
      <c r="AC148" s="75">
        <f t="shared" si="168"/>
        <v>0</v>
      </c>
      <c r="AD148" s="75">
        <f t="shared" si="168"/>
        <v>0</v>
      </c>
      <c r="AE148" s="75">
        <f t="shared" si="168"/>
        <v>0</v>
      </c>
      <c r="AF148" s="75">
        <f t="shared" si="168"/>
        <v>-585</v>
      </c>
      <c r="AG148" s="75">
        <f t="shared" si="168"/>
        <v>0</v>
      </c>
      <c r="AH148" s="75">
        <f t="shared" si="168"/>
        <v>0</v>
      </c>
      <c r="AI148" s="75">
        <f t="shared" si="168"/>
        <v>3989</v>
      </c>
      <c r="AJ148" s="75">
        <f t="shared" si="168"/>
        <v>0</v>
      </c>
      <c r="AK148" s="75">
        <f t="shared" si="168"/>
        <v>0</v>
      </c>
      <c r="AL148" s="75">
        <f t="shared" si="168"/>
        <v>3989</v>
      </c>
      <c r="AM148" s="75">
        <f t="shared" si="168"/>
        <v>0</v>
      </c>
      <c r="AN148" s="75">
        <f t="shared" si="168"/>
        <v>0</v>
      </c>
      <c r="AO148" s="75">
        <f t="shared" si="168"/>
        <v>0</v>
      </c>
      <c r="AP148" s="75">
        <f t="shared" si="168"/>
        <v>0</v>
      </c>
      <c r="AQ148" s="75">
        <f t="shared" si="168"/>
        <v>0</v>
      </c>
      <c r="AR148" s="75">
        <f t="shared" si="168"/>
        <v>3989</v>
      </c>
      <c r="AS148" s="75">
        <f t="shared" si="168"/>
        <v>0</v>
      </c>
      <c r="AT148" s="76">
        <f t="shared" si="168"/>
        <v>0</v>
      </c>
      <c r="AU148" s="76">
        <f t="shared" si="168"/>
        <v>0</v>
      </c>
      <c r="AV148" s="76">
        <f t="shared" si="168"/>
        <v>0</v>
      </c>
      <c r="AW148" s="76">
        <f t="shared" si="168"/>
        <v>3989</v>
      </c>
      <c r="AX148" s="76">
        <f t="shared" si="168"/>
        <v>0</v>
      </c>
      <c r="AY148" s="75">
        <f t="shared" si="168"/>
        <v>-434</v>
      </c>
      <c r="AZ148" s="75">
        <f t="shared" si="168"/>
        <v>0</v>
      </c>
      <c r="BA148" s="75">
        <f t="shared" si="168"/>
        <v>0</v>
      </c>
      <c r="BB148" s="75">
        <f t="shared" si="168"/>
        <v>0</v>
      </c>
      <c r="BC148" s="75">
        <f t="shared" si="168"/>
        <v>0</v>
      </c>
      <c r="BD148" s="75">
        <f t="shared" si="168"/>
        <v>3555</v>
      </c>
      <c r="BE148" s="75">
        <f t="shared" si="168"/>
        <v>0</v>
      </c>
      <c r="BF148" s="75">
        <f t="shared" si="168"/>
        <v>0</v>
      </c>
      <c r="BG148" s="75">
        <f t="shared" si="168"/>
        <v>0</v>
      </c>
      <c r="BH148" s="75">
        <f t="shared" si="168"/>
        <v>0</v>
      </c>
      <c r="BI148" s="75">
        <f t="shared" si="168"/>
        <v>3555</v>
      </c>
      <c r="BJ148" s="75">
        <f t="shared" si="168"/>
        <v>0</v>
      </c>
      <c r="BK148" s="75">
        <f t="shared" si="168"/>
        <v>0</v>
      </c>
      <c r="BL148" s="75">
        <f t="shared" si="168"/>
        <v>0</v>
      </c>
      <c r="BM148" s="75">
        <f t="shared" si="168"/>
        <v>36</v>
      </c>
      <c r="BN148" s="75">
        <f t="shared" si="168"/>
        <v>0</v>
      </c>
      <c r="BO148" s="75">
        <f t="shared" si="168"/>
        <v>3591</v>
      </c>
      <c r="BP148" s="75">
        <f t="shared" si="168"/>
        <v>0</v>
      </c>
      <c r="BQ148" s="75">
        <f>BQ149+BQ150</f>
        <v>0</v>
      </c>
      <c r="BR148" s="75"/>
      <c r="BS148" s="75">
        <f>BS149+BS150</f>
        <v>1650</v>
      </c>
      <c r="BT148" s="75">
        <f>BT149+BT150+BT152</f>
        <v>8376</v>
      </c>
      <c r="BU148" s="75">
        <f>BU149+BU150+BU152</f>
        <v>13617</v>
      </c>
      <c r="BV148" s="75">
        <f>BV149+BV150+BV152</f>
        <v>8376</v>
      </c>
      <c r="BW148" s="75">
        <f>BW149+BW150+BW152</f>
        <v>3591</v>
      </c>
      <c r="BX148" s="75">
        <f>BX149+BX150+BX152</f>
        <v>0</v>
      </c>
      <c r="BY148" s="77">
        <f aca="true" t="shared" si="169" ref="BY148:BY153">BW148/BU148*100</f>
        <v>26.371447455386647</v>
      </c>
      <c r="BZ148" s="60">
        <f aca="true" t="shared" si="170" ref="BZ148:BZ153">BX148/BV148*100</f>
        <v>0</v>
      </c>
    </row>
    <row r="149" spans="1:78" s="21" customFormat="1" ht="72" customHeight="1" hidden="1">
      <c r="A149" s="88" t="s">
        <v>138</v>
      </c>
      <c r="B149" s="89" t="s">
        <v>135</v>
      </c>
      <c r="C149" s="89" t="s">
        <v>142</v>
      </c>
      <c r="D149" s="90" t="s">
        <v>122</v>
      </c>
      <c r="E149" s="89" t="s">
        <v>139</v>
      </c>
      <c r="F149" s="75"/>
      <c r="G149" s="75">
        <f>H149-F149</f>
        <v>4574</v>
      </c>
      <c r="H149" s="75">
        <v>4574</v>
      </c>
      <c r="I149" s="134"/>
      <c r="J149" s="134"/>
      <c r="K149" s="134"/>
      <c r="L149" s="134"/>
      <c r="M149" s="75">
        <f>H149+J149+K149+L149</f>
        <v>4574</v>
      </c>
      <c r="N149" s="78">
        <f>I149+L149</f>
        <v>0</v>
      </c>
      <c r="O149" s="134"/>
      <c r="P149" s="134"/>
      <c r="Q149" s="134"/>
      <c r="R149" s="134"/>
      <c r="S149" s="75">
        <f>M149+O149+P149+Q149+R149</f>
        <v>4574</v>
      </c>
      <c r="T149" s="75">
        <f>N149+R149</f>
        <v>0</v>
      </c>
      <c r="U149" s="134"/>
      <c r="V149" s="134"/>
      <c r="W149" s="134"/>
      <c r="X149" s="78"/>
      <c r="Y149" s="134"/>
      <c r="Z149" s="134"/>
      <c r="AA149" s="134"/>
      <c r="AB149" s="75">
        <f>S149+U149+V149+W149+X149+Y149+Z149+AA149</f>
        <v>4574</v>
      </c>
      <c r="AC149" s="75">
        <f>T149+Z149+AA149</f>
        <v>0</v>
      </c>
      <c r="AD149" s="135"/>
      <c r="AE149" s="135"/>
      <c r="AF149" s="75">
        <v>-585</v>
      </c>
      <c r="AG149" s="135"/>
      <c r="AH149" s="135"/>
      <c r="AI149" s="75">
        <f>AB149+AD149+AE149+AF149+AG149+AH149</f>
        <v>3989</v>
      </c>
      <c r="AJ149" s="75">
        <f>AC149+AH149</f>
        <v>0</v>
      </c>
      <c r="AK149" s="134"/>
      <c r="AL149" s="75">
        <f>AI149+AK149</f>
        <v>3989</v>
      </c>
      <c r="AM149" s="75">
        <f>AJ149</f>
        <v>0</v>
      </c>
      <c r="AN149" s="134"/>
      <c r="AO149" s="134"/>
      <c r="AP149" s="134"/>
      <c r="AQ149" s="134"/>
      <c r="AR149" s="75">
        <f>AL149+AN149+AO149+AP149+AQ149</f>
        <v>3989</v>
      </c>
      <c r="AS149" s="75">
        <f>AM149+AQ149</f>
        <v>0</v>
      </c>
      <c r="AT149" s="140"/>
      <c r="AU149" s="140"/>
      <c r="AV149" s="140"/>
      <c r="AW149" s="76">
        <f>AV149+AU149+AT149+AR149</f>
        <v>3989</v>
      </c>
      <c r="AX149" s="76">
        <f>AV149+AS149</f>
        <v>0</v>
      </c>
      <c r="AY149" s="75">
        <v>-434</v>
      </c>
      <c r="AZ149" s="136"/>
      <c r="BA149" s="136"/>
      <c r="BB149" s="136"/>
      <c r="BC149" s="136"/>
      <c r="BD149" s="75">
        <f>AW149+AY149+AZ149+BA149+BB149+BC149</f>
        <v>3555</v>
      </c>
      <c r="BE149" s="75">
        <f>AX149+BC149</f>
        <v>0</v>
      </c>
      <c r="BF149" s="78"/>
      <c r="BG149" s="134"/>
      <c r="BH149" s="134"/>
      <c r="BI149" s="75">
        <f>BD149+BF149+BG149+BH149</f>
        <v>3555</v>
      </c>
      <c r="BJ149" s="75">
        <f>BE149+BH149</f>
        <v>0</v>
      </c>
      <c r="BK149" s="137"/>
      <c r="BL149" s="137"/>
      <c r="BM149" s="78">
        <v>36</v>
      </c>
      <c r="BN149" s="137"/>
      <c r="BO149" s="75">
        <f>BI149+BK149+BL149+BM149+BN149</f>
        <v>3591</v>
      </c>
      <c r="BP149" s="75">
        <f>BJ149+BN149</f>
        <v>0</v>
      </c>
      <c r="BQ149" s="134"/>
      <c r="BR149" s="134"/>
      <c r="BS149" s="75">
        <f>-430+1650-1650</f>
        <v>-430</v>
      </c>
      <c r="BT149" s="78">
        <v>672</v>
      </c>
      <c r="BU149" s="75">
        <f>BO149+BQ149+BS149+BT149</f>
        <v>3833</v>
      </c>
      <c r="BV149" s="75">
        <f>BP149+BT149</f>
        <v>672</v>
      </c>
      <c r="BW149" s="75">
        <v>3161</v>
      </c>
      <c r="BX149" s="75"/>
      <c r="BY149" s="77">
        <f t="shared" si="169"/>
        <v>82.46804069919123</v>
      </c>
      <c r="BZ149" s="60">
        <f t="shared" si="170"/>
        <v>0</v>
      </c>
    </row>
    <row r="150" spans="1:78" s="21" customFormat="1" ht="121.5" customHeight="1" hidden="1">
      <c r="A150" s="88" t="s">
        <v>382</v>
      </c>
      <c r="B150" s="89" t="s">
        <v>135</v>
      </c>
      <c r="C150" s="89" t="s">
        <v>142</v>
      </c>
      <c r="D150" s="90" t="s">
        <v>380</v>
      </c>
      <c r="E150" s="89"/>
      <c r="F150" s="75"/>
      <c r="G150" s="75"/>
      <c r="H150" s="75"/>
      <c r="I150" s="134"/>
      <c r="J150" s="134"/>
      <c r="K150" s="134"/>
      <c r="L150" s="134"/>
      <c r="M150" s="75"/>
      <c r="N150" s="78"/>
      <c r="O150" s="134"/>
      <c r="P150" s="134"/>
      <c r="Q150" s="134"/>
      <c r="R150" s="134"/>
      <c r="S150" s="75"/>
      <c r="T150" s="75"/>
      <c r="U150" s="134"/>
      <c r="V150" s="134"/>
      <c r="W150" s="134"/>
      <c r="X150" s="78"/>
      <c r="Y150" s="134"/>
      <c r="Z150" s="134"/>
      <c r="AA150" s="134"/>
      <c r="AB150" s="75"/>
      <c r="AC150" s="75"/>
      <c r="AD150" s="135"/>
      <c r="AE150" s="135"/>
      <c r="AF150" s="75"/>
      <c r="AG150" s="135"/>
      <c r="AH150" s="135"/>
      <c r="AI150" s="75"/>
      <c r="AJ150" s="75"/>
      <c r="AK150" s="134"/>
      <c r="AL150" s="75"/>
      <c r="AM150" s="75"/>
      <c r="AN150" s="134"/>
      <c r="AO150" s="134"/>
      <c r="AP150" s="134"/>
      <c r="AQ150" s="134"/>
      <c r="AR150" s="75"/>
      <c r="AS150" s="75"/>
      <c r="AT150" s="140"/>
      <c r="AU150" s="140"/>
      <c r="AV150" s="140"/>
      <c r="AW150" s="76"/>
      <c r="AX150" s="76"/>
      <c r="AY150" s="75"/>
      <c r="AZ150" s="136"/>
      <c r="BA150" s="136"/>
      <c r="BB150" s="136"/>
      <c r="BC150" s="136"/>
      <c r="BD150" s="75"/>
      <c r="BE150" s="75"/>
      <c r="BF150" s="78"/>
      <c r="BG150" s="134"/>
      <c r="BH150" s="134"/>
      <c r="BI150" s="75"/>
      <c r="BJ150" s="75"/>
      <c r="BK150" s="137"/>
      <c r="BL150" s="137"/>
      <c r="BM150" s="78"/>
      <c r="BN150" s="137"/>
      <c r="BO150" s="75"/>
      <c r="BP150" s="75"/>
      <c r="BQ150" s="134">
        <f>BQ151</f>
        <v>0</v>
      </c>
      <c r="BR150" s="134"/>
      <c r="BS150" s="75">
        <f aca="true" t="shared" si="171" ref="BS150:BX150">BS151</f>
        <v>2080</v>
      </c>
      <c r="BT150" s="75">
        <f t="shared" si="171"/>
        <v>6039</v>
      </c>
      <c r="BU150" s="75">
        <f t="shared" si="171"/>
        <v>8119</v>
      </c>
      <c r="BV150" s="75">
        <f t="shared" si="171"/>
        <v>6039</v>
      </c>
      <c r="BW150" s="75">
        <f t="shared" si="171"/>
        <v>430</v>
      </c>
      <c r="BX150" s="75">
        <f t="shared" si="171"/>
        <v>0</v>
      </c>
      <c r="BY150" s="77">
        <f t="shared" si="169"/>
        <v>5.296218746151004</v>
      </c>
      <c r="BZ150" s="60">
        <f t="shared" si="170"/>
        <v>0</v>
      </c>
    </row>
    <row r="151" spans="1:78" s="21" customFormat="1" ht="99.75" customHeight="1" hidden="1">
      <c r="A151" s="88" t="s">
        <v>359</v>
      </c>
      <c r="B151" s="89" t="s">
        <v>135</v>
      </c>
      <c r="C151" s="89" t="s">
        <v>142</v>
      </c>
      <c r="D151" s="90" t="s">
        <v>380</v>
      </c>
      <c r="E151" s="89" t="s">
        <v>145</v>
      </c>
      <c r="F151" s="75"/>
      <c r="G151" s="75"/>
      <c r="H151" s="75"/>
      <c r="I151" s="134"/>
      <c r="J151" s="134"/>
      <c r="K151" s="134"/>
      <c r="L151" s="134"/>
      <c r="M151" s="75"/>
      <c r="N151" s="78"/>
      <c r="O151" s="134"/>
      <c r="P151" s="134"/>
      <c r="Q151" s="134"/>
      <c r="R151" s="134"/>
      <c r="S151" s="75"/>
      <c r="T151" s="75"/>
      <c r="U151" s="134"/>
      <c r="V151" s="134"/>
      <c r="W151" s="134"/>
      <c r="X151" s="78"/>
      <c r="Y151" s="134"/>
      <c r="Z151" s="134"/>
      <c r="AA151" s="134"/>
      <c r="AB151" s="75"/>
      <c r="AC151" s="75"/>
      <c r="AD151" s="135"/>
      <c r="AE151" s="135"/>
      <c r="AF151" s="75"/>
      <c r="AG151" s="135"/>
      <c r="AH151" s="135"/>
      <c r="AI151" s="75"/>
      <c r="AJ151" s="75"/>
      <c r="AK151" s="134"/>
      <c r="AL151" s="75"/>
      <c r="AM151" s="75"/>
      <c r="AN151" s="134"/>
      <c r="AO151" s="134"/>
      <c r="AP151" s="134"/>
      <c r="AQ151" s="134"/>
      <c r="AR151" s="75"/>
      <c r="AS151" s="75"/>
      <c r="AT151" s="140"/>
      <c r="AU151" s="140"/>
      <c r="AV151" s="140"/>
      <c r="AW151" s="76"/>
      <c r="AX151" s="76"/>
      <c r="AY151" s="75"/>
      <c r="AZ151" s="136"/>
      <c r="BA151" s="136"/>
      <c r="BB151" s="136"/>
      <c r="BC151" s="136"/>
      <c r="BD151" s="75"/>
      <c r="BE151" s="75"/>
      <c r="BF151" s="78"/>
      <c r="BG151" s="134"/>
      <c r="BH151" s="134"/>
      <c r="BI151" s="75"/>
      <c r="BJ151" s="75"/>
      <c r="BK151" s="137"/>
      <c r="BL151" s="137"/>
      <c r="BM151" s="78"/>
      <c r="BN151" s="137"/>
      <c r="BO151" s="75"/>
      <c r="BP151" s="75"/>
      <c r="BQ151" s="134"/>
      <c r="BR151" s="134"/>
      <c r="BS151" s="75">
        <f>430+1650</f>
        <v>2080</v>
      </c>
      <c r="BT151" s="75">
        <f>6039</f>
        <v>6039</v>
      </c>
      <c r="BU151" s="75">
        <f>BO151+BQ151+BS151+BT151</f>
        <v>8119</v>
      </c>
      <c r="BV151" s="75">
        <f>BP151+BT151</f>
        <v>6039</v>
      </c>
      <c r="BW151" s="75">
        <v>430</v>
      </c>
      <c r="BX151" s="75"/>
      <c r="BY151" s="77">
        <f t="shared" si="169"/>
        <v>5.296218746151004</v>
      </c>
      <c r="BZ151" s="60">
        <f t="shared" si="170"/>
        <v>0</v>
      </c>
    </row>
    <row r="152" spans="1:78" s="21" customFormat="1" ht="153.75" customHeight="1" hidden="1">
      <c r="A152" s="88" t="s">
        <v>381</v>
      </c>
      <c r="B152" s="89" t="s">
        <v>135</v>
      </c>
      <c r="C152" s="89" t="s">
        <v>142</v>
      </c>
      <c r="D152" s="90" t="s">
        <v>383</v>
      </c>
      <c r="E152" s="89"/>
      <c r="F152" s="75"/>
      <c r="G152" s="75"/>
      <c r="H152" s="75"/>
      <c r="I152" s="134"/>
      <c r="J152" s="134"/>
      <c r="K152" s="134"/>
      <c r="L152" s="134"/>
      <c r="M152" s="75"/>
      <c r="N152" s="78"/>
      <c r="O152" s="134"/>
      <c r="P152" s="134"/>
      <c r="Q152" s="134"/>
      <c r="R152" s="134"/>
      <c r="S152" s="75"/>
      <c r="T152" s="75"/>
      <c r="U152" s="134"/>
      <c r="V152" s="134"/>
      <c r="W152" s="134"/>
      <c r="X152" s="78"/>
      <c r="Y152" s="134"/>
      <c r="Z152" s="134"/>
      <c r="AA152" s="134"/>
      <c r="AB152" s="75"/>
      <c r="AC152" s="75"/>
      <c r="AD152" s="135"/>
      <c r="AE152" s="135"/>
      <c r="AF152" s="75"/>
      <c r="AG152" s="135"/>
      <c r="AH152" s="135"/>
      <c r="AI152" s="75"/>
      <c r="AJ152" s="75"/>
      <c r="AK152" s="134"/>
      <c r="AL152" s="75"/>
      <c r="AM152" s="75"/>
      <c r="AN152" s="134"/>
      <c r="AO152" s="134"/>
      <c r="AP152" s="134"/>
      <c r="AQ152" s="134"/>
      <c r="AR152" s="75"/>
      <c r="AS152" s="75"/>
      <c r="AT152" s="140"/>
      <c r="AU152" s="140"/>
      <c r="AV152" s="140"/>
      <c r="AW152" s="76"/>
      <c r="AX152" s="76"/>
      <c r="AY152" s="75"/>
      <c r="AZ152" s="136"/>
      <c r="BA152" s="136"/>
      <c r="BB152" s="136"/>
      <c r="BC152" s="136"/>
      <c r="BD152" s="75"/>
      <c r="BE152" s="75"/>
      <c r="BF152" s="78"/>
      <c r="BG152" s="134"/>
      <c r="BH152" s="134"/>
      <c r="BI152" s="75"/>
      <c r="BJ152" s="75"/>
      <c r="BK152" s="137"/>
      <c r="BL152" s="137"/>
      <c r="BM152" s="78"/>
      <c r="BN152" s="137"/>
      <c r="BO152" s="75"/>
      <c r="BP152" s="75"/>
      <c r="BQ152" s="134">
        <f>BQ153</f>
        <v>0</v>
      </c>
      <c r="BR152" s="134"/>
      <c r="BS152" s="78">
        <f aca="true" t="shared" si="172" ref="BS152:BX152">BS153</f>
        <v>0</v>
      </c>
      <c r="BT152" s="75">
        <f t="shared" si="172"/>
        <v>1665</v>
      </c>
      <c r="BU152" s="75">
        <f t="shared" si="172"/>
        <v>1665</v>
      </c>
      <c r="BV152" s="75">
        <f t="shared" si="172"/>
        <v>1665</v>
      </c>
      <c r="BW152" s="75">
        <f t="shared" si="172"/>
        <v>0</v>
      </c>
      <c r="BX152" s="75">
        <f t="shared" si="172"/>
        <v>0</v>
      </c>
      <c r="BY152" s="77">
        <f t="shared" si="169"/>
        <v>0</v>
      </c>
      <c r="BZ152" s="60">
        <f t="shared" si="170"/>
        <v>0</v>
      </c>
    </row>
    <row r="153" spans="1:78" s="21" customFormat="1" ht="99.75" customHeight="1" hidden="1">
      <c r="A153" s="88" t="s">
        <v>319</v>
      </c>
      <c r="B153" s="89" t="s">
        <v>135</v>
      </c>
      <c r="C153" s="89" t="s">
        <v>142</v>
      </c>
      <c r="D153" s="90" t="s">
        <v>383</v>
      </c>
      <c r="E153" s="89" t="s">
        <v>271</v>
      </c>
      <c r="F153" s="75"/>
      <c r="G153" s="75"/>
      <c r="H153" s="75"/>
      <c r="I153" s="134"/>
      <c r="J153" s="134"/>
      <c r="K153" s="134"/>
      <c r="L153" s="134"/>
      <c r="M153" s="75"/>
      <c r="N153" s="78"/>
      <c r="O153" s="134"/>
      <c r="P153" s="134"/>
      <c r="Q153" s="134"/>
      <c r="R153" s="134"/>
      <c r="S153" s="75"/>
      <c r="T153" s="75"/>
      <c r="U153" s="134"/>
      <c r="V153" s="134"/>
      <c r="W153" s="134"/>
      <c r="X153" s="78"/>
      <c r="Y153" s="134"/>
      <c r="Z153" s="134"/>
      <c r="AA153" s="134"/>
      <c r="AB153" s="75"/>
      <c r="AC153" s="75"/>
      <c r="AD153" s="135"/>
      <c r="AE153" s="135"/>
      <c r="AF153" s="75"/>
      <c r="AG153" s="135"/>
      <c r="AH153" s="135"/>
      <c r="AI153" s="75"/>
      <c r="AJ153" s="75"/>
      <c r="AK153" s="134"/>
      <c r="AL153" s="75"/>
      <c r="AM153" s="75"/>
      <c r="AN153" s="134"/>
      <c r="AO153" s="134"/>
      <c r="AP153" s="134"/>
      <c r="AQ153" s="134"/>
      <c r="AR153" s="75"/>
      <c r="AS153" s="75"/>
      <c r="AT153" s="140"/>
      <c r="AU153" s="140"/>
      <c r="AV153" s="140"/>
      <c r="AW153" s="76"/>
      <c r="AX153" s="76"/>
      <c r="AY153" s="75"/>
      <c r="AZ153" s="136"/>
      <c r="BA153" s="136"/>
      <c r="BB153" s="136"/>
      <c r="BC153" s="136"/>
      <c r="BD153" s="75"/>
      <c r="BE153" s="75"/>
      <c r="BF153" s="78"/>
      <c r="BG153" s="134"/>
      <c r="BH153" s="134"/>
      <c r="BI153" s="75"/>
      <c r="BJ153" s="75"/>
      <c r="BK153" s="137"/>
      <c r="BL153" s="137"/>
      <c r="BM153" s="78"/>
      <c r="BN153" s="137"/>
      <c r="BO153" s="75"/>
      <c r="BP153" s="75"/>
      <c r="BQ153" s="134"/>
      <c r="BR153" s="134"/>
      <c r="BS153" s="78"/>
      <c r="BT153" s="75">
        <v>1665</v>
      </c>
      <c r="BU153" s="75">
        <f>BO153+BQ153+BS153+BT153</f>
        <v>1665</v>
      </c>
      <c r="BV153" s="75">
        <f>BP153+BT153</f>
        <v>1665</v>
      </c>
      <c r="BW153" s="75"/>
      <c r="BX153" s="75"/>
      <c r="BY153" s="77">
        <f t="shared" si="169"/>
        <v>0</v>
      </c>
      <c r="BZ153" s="60">
        <f t="shared" si="170"/>
        <v>0</v>
      </c>
    </row>
    <row r="154" spans="1:78" ht="12.75" customHeight="1">
      <c r="A154" s="110"/>
      <c r="B154" s="83"/>
      <c r="C154" s="83"/>
      <c r="D154" s="84"/>
      <c r="E154" s="83"/>
      <c r="F154" s="50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2"/>
      <c r="T154" s="52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2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3"/>
      <c r="AU154" s="53"/>
      <c r="AV154" s="53"/>
      <c r="AW154" s="53"/>
      <c r="AX154" s="53"/>
      <c r="AY154" s="52"/>
      <c r="AZ154" s="52"/>
      <c r="BA154" s="52"/>
      <c r="BB154" s="52"/>
      <c r="BC154" s="52"/>
      <c r="BD154" s="54"/>
      <c r="BE154" s="54"/>
      <c r="BF154" s="51"/>
      <c r="BG154" s="51"/>
      <c r="BH154" s="51"/>
      <c r="BI154" s="51"/>
      <c r="BJ154" s="51"/>
      <c r="BK154" s="54"/>
      <c r="BL154" s="54"/>
      <c r="BM154" s="54"/>
      <c r="BN154" s="54"/>
      <c r="BO154" s="54"/>
      <c r="BP154" s="54"/>
      <c r="BQ154" s="51"/>
      <c r="BR154" s="51"/>
      <c r="BS154" s="51"/>
      <c r="BT154" s="51"/>
      <c r="BU154" s="51"/>
      <c r="BV154" s="51"/>
      <c r="BW154" s="51"/>
      <c r="BX154" s="51"/>
      <c r="BY154" s="60"/>
      <c r="BZ154" s="60"/>
    </row>
    <row r="155" spans="1:78" s="10" customFormat="1" ht="42" customHeight="1">
      <c r="A155" s="55" t="s">
        <v>49</v>
      </c>
      <c r="B155" s="56" t="s">
        <v>50</v>
      </c>
      <c r="C155" s="56"/>
      <c r="D155" s="57"/>
      <c r="E155" s="56"/>
      <c r="F155" s="120">
        <f aca="true" t="shared" si="173" ref="F155:AX155">F157+F185+F213+F236</f>
        <v>1041272</v>
      </c>
      <c r="G155" s="120">
        <f t="shared" si="173"/>
        <v>485866</v>
      </c>
      <c r="H155" s="120">
        <f t="shared" si="173"/>
        <v>1527138</v>
      </c>
      <c r="I155" s="120">
        <f t="shared" si="173"/>
        <v>18396</v>
      </c>
      <c r="J155" s="120">
        <f t="shared" si="173"/>
        <v>-30000</v>
      </c>
      <c r="K155" s="120">
        <f t="shared" si="173"/>
        <v>0</v>
      </c>
      <c r="L155" s="120">
        <f t="shared" si="173"/>
        <v>-8584</v>
      </c>
      <c r="M155" s="120">
        <f t="shared" si="173"/>
        <v>1488554</v>
      </c>
      <c r="N155" s="120">
        <f t="shared" si="173"/>
        <v>9812</v>
      </c>
      <c r="O155" s="120">
        <f t="shared" si="173"/>
        <v>-283</v>
      </c>
      <c r="P155" s="120">
        <f t="shared" si="173"/>
        <v>0</v>
      </c>
      <c r="Q155" s="120">
        <f t="shared" si="173"/>
        <v>0</v>
      </c>
      <c r="R155" s="120">
        <f t="shared" si="173"/>
        <v>0</v>
      </c>
      <c r="S155" s="120">
        <f t="shared" si="173"/>
        <v>1488271</v>
      </c>
      <c r="T155" s="120">
        <f t="shared" si="173"/>
        <v>9812</v>
      </c>
      <c r="U155" s="120">
        <f t="shared" si="173"/>
        <v>0</v>
      </c>
      <c r="V155" s="120">
        <f t="shared" si="173"/>
        <v>0</v>
      </c>
      <c r="W155" s="120">
        <f t="shared" si="173"/>
        <v>0</v>
      </c>
      <c r="X155" s="120">
        <f t="shared" si="173"/>
        <v>0</v>
      </c>
      <c r="Y155" s="120">
        <f t="shared" si="173"/>
        <v>-24961</v>
      </c>
      <c r="Z155" s="120">
        <f t="shared" si="173"/>
        <v>0</v>
      </c>
      <c r="AA155" s="120">
        <f t="shared" si="173"/>
        <v>1428725</v>
      </c>
      <c r="AB155" s="120">
        <f t="shared" si="173"/>
        <v>2892035</v>
      </c>
      <c r="AC155" s="120">
        <f t="shared" si="173"/>
        <v>1438537</v>
      </c>
      <c r="AD155" s="120">
        <f t="shared" si="173"/>
        <v>3</v>
      </c>
      <c r="AE155" s="120">
        <f t="shared" si="173"/>
        <v>820</v>
      </c>
      <c r="AF155" s="120">
        <f t="shared" si="173"/>
        <v>-341537</v>
      </c>
      <c r="AG155" s="120">
        <f t="shared" si="173"/>
        <v>0</v>
      </c>
      <c r="AH155" s="120">
        <f t="shared" si="173"/>
        <v>0</v>
      </c>
      <c r="AI155" s="120">
        <f t="shared" si="173"/>
        <v>2551321</v>
      </c>
      <c r="AJ155" s="120">
        <f t="shared" si="173"/>
        <v>1438537</v>
      </c>
      <c r="AK155" s="120">
        <f t="shared" si="173"/>
        <v>30000</v>
      </c>
      <c r="AL155" s="120">
        <f t="shared" si="173"/>
        <v>2581321</v>
      </c>
      <c r="AM155" s="120">
        <f t="shared" si="173"/>
        <v>1438537</v>
      </c>
      <c r="AN155" s="120">
        <f t="shared" si="173"/>
        <v>-3293</v>
      </c>
      <c r="AO155" s="120">
        <f t="shared" si="173"/>
        <v>815</v>
      </c>
      <c r="AP155" s="120">
        <f t="shared" si="173"/>
        <v>3</v>
      </c>
      <c r="AQ155" s="120">
        <f t="shared" si="173"/>
        <v>0</v>
      </c>
      <c r="AR155" s="120">
        <f t="shared" si="173"/>
        <v>2578846</v>
      </c>
      <c r="AS155" s="120">
        <f t="shared" si="173"/>
        <v>1438537</v>
      </c>
      <c r="AT155" s="121">
        <f t="shared" si="173"/>
        <v>-9161</v>
      </c>
      <c r="AU155" s="121">
        <f t="shared" si="173"/>
        <v>0</v>
      </c>
      <c r="AV155" s="121">
        <f t="shared" si="173"/>
        <v>0</v>
      </c>
      <c r="AW155" s="121">
        <f t="shared" si="173"/>
        <v>2569685</v>
      </c>
      <c r="AX155" s="121">
        <f t="shared" si="173"/>
        <v>1438537</v>
      </c>
      <c r="AY155" s="120">
        <f aca="true" t="shared" si="174" ref="AY155:BE155">AY157+AY185+AY213+AY236</f>
        <v>-222553</v>
      </c>
      <c r="AZ155" s="120">
        <f t="shared" si="174"/>
        <v>4100</v>
      </c>
      <c r="BA155" s="120">
        <f t="shared" si="174"/>
        <v>450</v>
      </c>
      <c r="BB155" s="120">
        <f t="shared" si="174"/>
        <v>0</v>
      </c>
      <c r="BC155" s="120">
        <f t="shared" si="174"/>
        <v>-873666</v>
      </c>
      <c r="BD155" s="120">
        <f t="shared" si="174"/>
        <v>1478016</v>
      </c>
      <c r="BE155" s="120">
        <f t="shared" si="174"/>
        <v>564871</v>
      </c>
      <c r="BF155" s="120">
        <f>BF157+BF185+BF213+BF236</f>
        <v>0</v>
      </c>
      <c r="BG155" s="120">
        <f>BG157+BG185+BG213+BG236</f>
        <v>0</v>
      </c>
      <c r="BH155" s="120">
        <f>BH157+BH185+BH213+BH236</f>
        <v>0</v>
      </c>
      <c r="BI155" s="120">
        <f>BI157+BI185+BI213+BI236</f>
        <v>1478016</v>
      </c>
      <c r="BJ155" s="120">
        <f>BJ157+BJ185+BJ213+BJ236</f>
        <v>564871</v>
      </c>
      <c r="BK155" s="120">
        <f aca="true" t="shared" si="175" ref="BK155:BP155">BK157+BK185+BK213+BK236</f>
        <v>0</v>
      </c>
      <c r="BL155" s="120">
        <f t="shared" si="175"/>
        <v>0</v>
      </c>
      <c r="BM155" s="120">
        <f t="shared" si="175"/>
        <v>21404</v>
      </c>
      <c r="BN155" s="120">
        <f t="shared" si="175"/>
        <v>57000</v>
      </c>
      <c r="BO155" s="120">
        <f t="shared" si="175"/>
        <v>1556420</v>
      </c>
      <c r="BP155" s="120">
        <f t="shared" si="175"/>
        <v>621871</v>
      </c>
      <c r="BQ155" s="120">
        <f aca="true" t="shared" si="176" ref="BQ155:BV155">BQ157+BQ185+BQ213+BQ236</f>
        <v>-2796</v>
      </c>
      <c r="BR155" s="120">
        <f t="shared" si="176"/>
        <v>0</v>
      </c>
      <c r="BS155" s="120">
        <f t="shared" si="176"/>
        <v>12807</v>
      </c>
      <c r="BT155" s="120">
        <f t="shared" si="176"/>
        <v>56000</v>
      </c>
      <c r="BU155" s="120">
        <f t="shared" si="176"/>
        <v>1622431</v>
      </c>
      <c r="BV155" s="120">
        <f t="shared" si="176"/>
        <v>677871</v>
      </c>
      <c r="BW155" s="120">
        <f>BW157+BW185+BW213+BW236</f>
        <v>1579153</v>
      </c>
      <c r="BX155" s="120">
        <f>BX157+BX185+BX213+BX236</f>
        <v>677871</v>
      </c>
      <c r="BY155" s="60">
        <f aca="true" t="shared" si="177" ref="BY155:BZ210">BW155/BU155*100</f>
        <v>97.33252138303571</v>
      </c>
      <c r="BZ155" s="60">
        <f>BX155/BV155*100</f>
        <v>100</v>
      </c>
    </row>
    <row r="156" spans="1:78" ht="12.75" customHeight="1">
      <c r="A156" s="110"/>
      <c r="B156" s="83"/>
      <c r="C156" s="83"/>
      <c r="D156" s="84"/>
      <c r="E156" s="83"/>
      <c r="F156" s="75"/>
      <c r="G156" s="75"/>
      <c r="H156" s="75"/>
      <c r="I156" s="75"/>
      <c r="J156" s="75"/>
      <c r="K156" s="75"/>
      <c r="L156" s="75"/>
      <c r="M156" s="75"/>
      <c r="N156" s="75"/>
      <c r="O156" s="54"/>
      <c r="P156" s="54"/>
      <c r="Q156" s="51"/>
      <c r="R156" s="51"/>
      <c r="S156" s="52"/>
      <c r="T156" s="52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2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3"/>
      <c r="AU156" s="53"/>
      <c r="AV156" s="53"/>
      <c r="AW156" s="53"/>
      <c r="AX156" s="53"/>
      <c r="AY156" s="52"/>
      <c r="AZ156" s="52"/>
      <c r="BA156" s="52"/>
      <c r="BB156" s="52"/>
      <c r="BC156" s="52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60"/>
      <c r="BZ156" s="60"/>
    </row>
    <row r="157" spans="1:78" s="12" customFormat="1" ht="23.25" customHeight="1">
      <c r="A157" s="141" t="s">
        <v>51</v>
      </c>
      <c r="B157" s="67" t="s">
        <v>160</v>
      </c>
      <c r="C157" s="67" t="s">
        <v>127</v>
      </c>
      <c r="D157" s="85"/>
      <c r="E157" s="89"/>
      <c r="F157" s="69">
        <f aca="true" t="shared" si="178" ref="F157:T157">F162+F165+F167+F177</f>
        <v>209410</v>
      </c>
      <c r="G157" s="69">
        <f t="shared" si="178"/>
        <v>-26934</v>
      </c>
      <c r="H157" s="69">
        <f t="shared" si="178"/>
        <v>182476</v>
      </c>
      <c r="I157" s="69">
        <f t="shared" si="178"/>
        <v>0</v>
      </c>
      <c r="J157" s="69">
        <f t="shared" si="178"/>
        <v>0</v>
      </c>
      <c r="K157" s="69">
        <f t="shared" si="178"/>
        <v>0</v>
      </c>
      <c r="L157" s="69">
        <f t="shared" si="178"/>
        <v>0</v>
      </c>
      <c r="M157" s="69">
        <f t="shared" si="178"/>
        <v>182476</v>
      </c>
      <c r="N157" s="69">
        <f t="shared" si="178"/>
        <v>0</v>
      </c>
      <c r="O157" s="69">
        <f t="shared" si="178"/>
        <v>0</v>
      </c>
      <c r="P157" s="69"/>
      <c r="Q157" s="69">
        <f t="shared" si="178"/>
        <v>0</v>
      </c>
      <c r="R157" s="69">
        <f t="shared" si="178"/>
        <v>0</v>
      </c>
      <c r="S157" s="69">
        <f t="shared" si="178"/>
        <v>182476</v>
      </c>
      <c r="T157" s="69">
        <f t="shared" si="178"/>
        <v>0</v>
      </c>
      <c r="U157" s="69">
        <f>U158+U165+U167+U177</f>
        <v>0</v>
      </c>
      <c r="V157" s="69">
        <f aca="true" t="shared" si="179" ref="V157:AC157">V158+V165+V167+V177</f>
        <v>0</v>
      </c>
      <c r="W157" s="69">
        <f t="shared" si="179"/>
        <v>0</v>
      </c>
      <c r="X157" s="69">
        <f t="shared" si="179"/>
        <v>0</v>
      </c>
      <c r="Y157" s="69">
        <f t="shared" si="179"/>
        <v>0</v>
      </c>
      <c r="Z157" s="69">
        <f t="shared" si="179"/>
        <v>0</v>
      </c>
      <c r="AA157" s="69">
        <f t="shared" si="179"/>
        <v>1433712</v>
      </c>
      <c r="AB157" s="69">
        <f t="shared" si="179"/>
        <v>1616188</v>
      </c>
      <c r="AC157" s="69">
        <f t="shared" si="179"/>
        <v>1433712</v>
      </c>
      <c r="AD157" s="69">
        <f aca="true" t="shared" si="180" ref="AD157:AJ157">AD158+AD165+AD167+AD177</f>
        <v>0</v>
      </c>
      <c r="AE157" s="69">
        <f t="shared" si="180"/>
        <v>0</v>
      </c>
      <c r="AF157" s="69">
        <f t="shared" si="180"/>
        <v>-64362</v>
      </c>
      <c r="AG157" s="69">
        <f t="shared" si="180"/>
        <v>0</v>
      </c>
      <c r="AH157" s="69">
        <f t="shared" si="180"/>
        <v>0</v>
      </c>
      <c r="AI157" s="69">
        <f t="shared" si="180"/>
        <v>1551826</v>
      </c>
      <c r="AJ157" s="69">
        <f t="shared" si="180"/>
        <v>1433712</v>
      </c>
      <c r="AK157" s="69">
        <f aca="true" t="shared" si="181" ref="AK157:AS157">AK158+AK165+AK167+AK177</f>
        <v>0</v>
      </c>
      <c r="AL157" s="69">
        <f t="shared" si="181"/>
        <v>1551826</v>
      </c>
      <c r="AM157" s="69">
        <f t="shared" si="181"/>
        <v>1433712</v>
      </c>
      <c r="AN157" s="69">
        <f t="shared" si="181"/>
        <v>329</v>
      </c>
      <c r="AO157" s="69">
        <f>AO158+AO165+AO167+AO177</f>
        <v>0</v>
      </c>
      <c r="AP157" s="69">
        <f t="shared" si="181"/>
        <v>0</v>
      </c>
      <c r="AQ157" s="69">
        <f t="shared" si="181"/>
        <v>0</v>
      </c>
      <c r="AR157" s="69">
        <f t="shared" si="181"/>
        <v>1552155</v>
      </c>
      <c r="AS157" s="69">
        <f t="shared" si="181"/>
        <v>1433712</v>
      </c>
      <c r="AT157" s="70">
        <f aca="true" t="shared" si="182" ref="AT157:BE157">AT158+AT165+AT167+AT177</f>
        <v>0</v>
      </c>
      <c r="AU157" s="70">
        <f t="shared" si="182"/>
        <v>0</v>
      </c>
      <c r="AV157" s="70">
        <f t="shared" si="182"/>
        <v>0</v>
      </c>
      <c r="AW157" s="70">
        <f t="shared" si="182"/>
        <v>1552155</v>
      </c>
      <c r="AX157" s="70">
        <f t="shared" si="182"/>
        <v>1433712</v>
      </c>
      <c r="AY157" s="69">
        <f t="shared" si="182"/>
        <v>-58296</v>
      </c>
      <c r="AZ157" s="69">
        <f t="shared" si="182"/>
        <v>-4947</v>
      </c>
      <c r="BA157" s="69">
        <f t="shared" si="182"/>
        <v>0</v>
      </c>
      <c r="BB157" s="69">
        <f t="shared" si="182"/>
        <v>-3727</v>
      </c>
      <c r="BC157" s="69">
        <f t="shared" si="182"/>
        <v>-967699</v>
      </c>
      <c r="BD157" s="69">
        <f t="shared" si="182"/>
        <v>517486</v>
      </c>
      <c r="BE157" s="69">
        <f t="shared" si="182"/>
        <v>466013</v>
      </c>
      <c r="BF157" s="69">
        <f>BF158+BF165+BF167+BF177</f>
        <v>0</v>
      </c>
      <c r="BG157" s="69">
        <f>BG158+BG165+BG167+BG177</f>
        <v>0</v>
      </c>
      <c r="BH157" s="69">
        <f>BH158+BH165+BH167+BH177</f>
        <v>0</v>
      </c>
      <c r="BI157" s="69">
        <f>BI158+BI165+BI167+BI177</f>
        <v>517486</v>
      </c>
      <c r="BJ157" s="69">
        <f>BJ158+BJ165+BJ167+BJ177</f>
        <v>466013</v>
      </c>
      <c r="BK157" s="69">
        <f aca="true" t="shared" si="183" ref="BK157:BP157">BK158+BK165+BK167+BK177</f>
        <v>0</v>
      </c>
      <c r="BL157" s="69">
        <f t="shared" si="183"/>
        <v>0</v>
      </c>
      <c r="BM157" s="69">
        <f t="shared" si="183"/>
        <v>0</v>
      </c>
      <c r="BN157" s="69">
        <f t="shared" si="183"/>
        <v>0</v>
      </c>
      <c r="BO157" s="69">
        <f t="shared" si="183"/>
        <v>517486</v>
      </c>
      <c r="BP157" s="69">
        <f t="shared" si="183"/>
        <v>466013</v>
      </c>
      <c r="BQ157" s="69">
        <f>BQ158+BQ165+BQ167+BQ177</f>
        <v>0</v>
      </c>
      <c r="BR157" s="69"/>
      <c r="BS157" s="69">
        <f aca="true" t="shared" si="184" ref="BS157:BX157">BS158+BS165+BS167+BS177</f>
        <v>0</v>
      </c>
      <c r="BT157" s="69">
        <f t="shared" si="184"/>
        <v>0</v>
      </c>
      <c r="BU157" s="69">
        <f t="shared" si="184"/>
        <v>517486</v>
      </c>
      <c r="BV157" s="69">
        <f t="shared" si="184"/>
        <v>466013</v>
      </c>
      <c r="BW157" s="69">
        <f t="shared" si="184"/>
        <v>510487</v>
      </c>
      <c r="BX157" s="69">
        <f t="shared" si="184"/>
        <v>466013</v>
      </c>
      <c r="BY157" s="71">
        <f t="shared" si="177"/>
        <v>98.6474996425024</v>
      </c>
      <c r="BZ157" s="71">
        <f>BX157/BV157*100</f>
        <v>100</v>
      </c>
    </row>
    <row r="158" spans="1:78" s="12" customFormat="1" ht="78" customHeight="1" hidden="1">
      <c r="A158" s="142" t="s">
        <v>308</v>
      </c>
      <c r="B158" s="89" t="s">
        <v>160</v>
      </c>
      <c r="C158" s="89" t="s">
        <v>127</v>
      </c>
      <c r="D158" s="90" t="s">
        <v>307</v>
      </c>
      <c r="E158" s="8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75">
        <f>U159+U162</f>
        <v>0</v>
      </c>
      <c r="V158" s="75">
        <f aca="true" t="shared" si="185" ref="V158:AC158">V159+V162</f>
        <v>0</v>
      </c>
      <c r="W158" s="75">
        <f t="shared" si="185"/>
        <v>0</v>
      </c>
      <c r="X158" s="75">
        <f t="shared" si="185"/>
        <v>0</v>
      </c>
      <c r="Y158" s="75">
        <f t="shared" si="185"/>
        <v>-54232</v>
      </c>
      <c r="Z158" s="75">
        <f t="shared" si="185"/>
        <v>0</v>
      </c>
      <c r="AA158" s="75">
        <f t="shared" si="185"/>
        <v>1433712</v>
      </c>
      <c r="AB158" s="75">
        <f t="shared" si="185"/>
        <v>1461480</v>
      </c>
      <c r="AC158" s="75">
        <f t="shared" si="185"/>
        <v>1433712</v>
      </c>
      <c r="AD158" s="75">
        <f aca="true" t="shared" si="186" ref="AD158:AJ158">AD159+AD162</f>
        <v>0</v>
      </c>
      <c r="AE158" s="75">
        <f t="shared" si="186"/>
        <v>0</v>
      </c>
      <c r="AF158" s="75">
        <f t="shared" si="186"/>
        <v>0</v>
      </c>
      <c r="AG158" s="75">
        <f t="shared" si="186"/>
        <v>0</v>
      </c>
      <c r="AH158" s="75">
        <f t="shared" si="186"/>
        <v>0</v>
      </c>
      <c r="AI158" s="75">
        <f t="shared" si="186"/>
        <v>1461480</v>
      </c>
      <c r="AJ158" s="75">
        <f t="shared" si="186"/>
        <v>1433712</v>
      </c>
      <c r="AK158" s="75">
        <f aca="true" t="shared" si="187" ref="AK158:AS158">AK159+AK162</f>
        <v>0</v>
      </c>
      <c r="AL158" s="75">
        <f t="shared" si="187"/>
        <v>1461480</v>
      </c>
      <c r="AM158" s="75">
        <f t="shared" si="187"/>
        <v>1433712</v>
      </c>
      <c r="AN158" s="75">
        <f t="shared" si="187"/>
        <v>0</v>
      </c>
      <c r="AO158" s="75">
        <f>AO159+AO162</f>
        <v>0</v>
      </c>
      <c r="AP158" s="75">
        <f t="shared" si="187"/>
        <v>0</v>
      </c>
      <c r="AQ158" s="75">
        <f t="shared" si="187"/>
        <v>0</v>
      </c>
      <c r="AR158" s="75">
        <f t="shared" si="187"/>
        <v>1461480</v>
      </c>
      <c r="AS158" s="75">
        <f t="shared" si="187"/>
        <v>1433712</v>
      </c>
      <c r="AT158" s="76">
        <f aca="true" t="shared" si="188" ref="AT158:BE158">AT159+AT162</f>
        <v>0</v>
      </c>
      <c r="AU158" s="76">
        <f t="shared" si="188"/>
        <v>0</v>
      </c>
      <c r="AV158" s="76">
        <f t="shared" si="188"/>
        <v>0</v>
      </c>
      <c r="AW158" s="76">
        <f t="shared" si="188"/>
        <v>1461480</v>
      </c>
      <c r="AX158" s="76">
        <f t="shared" si="188"/>
        <v>1433712</v>
      </c>
      <c r="AY158" s="75">
        <f t="shared" si="188"/>
        <v>-18742</v>
      </c>
      <c r="AZ158" s="75">
        <f t="shared" si="188"/>
        <v>0</v>
      </c>
      <c r="BA158" s="75">
        <f t="shared" si="188"/>
        <v>0</v>
      </c>
      <c r="BB158" s="75">
        <f t="shared" si="188"/>
        <v>0</v>
      </c>
      <c r="BC158" s="75">
        <f t="shared" si="188"/>
        <v>-967699</v>
      </c>
      <c r="BD158" s="75">
        <f t="shared" si="188"/>
        <v>475039</v>
      </c>
      <c r="BE158" s="75">
        <f t="shared" si="188"/>
        <v>466013</v>
      </c>
      <c r="BF158" s="75">
        <f>BF159+BF162</f>
        <v>0</v>
      </c>
      <c r="BG158" s="75">
        <f>BG159+BG162</f>
        <v>0</v>
      </c>
      <c r="BH158" s="75">
        <f>BH159+BH162</f>
        <v>0</v>
      </c>
      <c r="BI158" s="75">
        <f>BI159+BI162</f>
        <v>475039</v>
      </c>
      <c r="BJ158" s="75">
        <f>BJ159+BJ162</f>
        <v>466013</v>
      </c>
      <c r="BK158" s="75">
        <f aca="true" t="shared" si="189" ref="BK158:BP158">BK159+BK162</f>
        <v>0</v>
      </c>
      <c r="BL158" s="75">
        <f t="shared" si="189"/>
        <v>0</v>
      </c>
      <c r="BM158" s="75">
        <f t="shared" si="189"/>
        <v>0</v>
      </c>
      <c r="BN158" s="75">
        <f t="shared" si="189"/>
        <v>0</v>
      </c>
      <c r="BO158" s="75">
        <f t="shared" si="189"/>
        <v>475039</v>
      </c>
      <c r="BP158" s="75">
        <f t="shared" si="189"/>
        <v>466013</v>
      </c>
      <c r="BQ158" s="75">
        <f>BQ159+BQ162</f>
        <v>0</v>
      </c>
      <c r="BR158" s="75"/>
      <c r="BS158" s="75">
        <f aca="true" t="shared" si="190" ref="BS158:BX158">BS159+BS162</f>
        <v>0</v>
      </c>
      <c r="BT158" s="75">
        <f t="shared" si="190"/>
        <v>0</v>
      </c>
      <c r="BU158" s="75">
        <f t="shared" si="190"/>
        <v>475039</v>
      </c>
      <c r="BV158" s="75">
        <f t="shared" si="190"/>
        <v>466013</v>
      </c>
      <c r="BW158" s="75">
        <f t="shared" si="190"/>
        <v>475039</v>
      </c>
      <c r="BX158" s="75">
        <f t="shared" si="190"/>
        <v>466013</v>
      </c>
      <c r="BY158" s="77">
        <f t="shared" si="177"/>
        <v>100</v>
      </c>
      <c r="BZ158" s="77">
        <f t="shared" si="177"/>
        <v>100</v>
      </c>
    </row>
    <row r="159" spans="1:78" s="12" customFormat="1" ht="140.25" customHeight="1" hidden="1">
      <c r="A159" s="142" t="s">
        <v>309</v>
      </c>
      <c r="B159" s="89" t="s">
        <v>160</v>
      </c>
      <c r="C159" s="89" t="s">
        <v>127</v>
      </c>
      <c r="D159" s="90" t="s">
        <v>305</v>
      </c>
      <c r="E159" s="8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>
        <f>U160</f>
        <v>0</v>
      </c>
      <c r="V159" s="69">
        <f aca="true" t="shared" si="191" ref="V159:AK160">V160</f>
        <v>0</v>
      </c>
      <c r="W159" s="69">
        <f t="shared" si="191"/>
        <v>0</v>
      </c>
      <c r="X159" s="69">
        <f t="shared" si="191"/>
        <v>0</v>
      </c>
      <c r="Y159" s="69">
        <f t="shared" si="191"/>
        <v>0</v>
      </c>
      <c r="Z159" s="69">
        <f t="shared" si="191"/>
        <v>0</v>
      </c>
      <c r="AA159" s="75">
        <f t="shared" si="191"/>
        <v>1287564</v>
      </c>
      <c r="AB159" s="75">
        <f t="shared" si="191"/>
        <v>1287564</v>
      </c>
      <c r="AC159" s="75">
        <f t="shared" si="191"/>
        <v>1287564</v>
      </c>
      <c r="AD159" s="75">
        <f t="shared" si="191"/>
        <v>0</v>
      </c>
      <c r="AE159" s="75">
        <f t="shared" si="191"/>
        <v>0</v>
      </c>
      <c r="AF159" s="75">
        <f t="shared" si="191"/>
        <v>0</v>
      </c>
      <c r="AG159" s="75">
        <f t="shared" si="191"/>
        <v>0</v>
      </c>
      <c r="AH159" s="75">
        <f t="shared" si="191"/>
        <v>0</v>
      </c>
      <c r="AI159" s="75">
        <f t="shared" si="191"/>
        <v>1287564</v>
      </c>
      <c r="AJ159" s="75">
        <f t="shared" si="191"/>
        <v>1287564</v>
      </c>
      <c r="AK159" s="75">
        <f t="shared" si="191"/>
        <v>0</v>
      </c>
      <c r="AL159" s="75">
        <f>AL160</f>
        <v>1287564</v>
      </c>
      <c r="AM159" s="75">
        <f>AM160</f>
        <v>1287564</v>
      </c>
      <c r="AN159" s="75">
        <f aca="true" t="shared" si="192" ref="AN159:BF160">AN160</f>
        <v>0</v>
      </c>
      <c r="AO159" s="75">
        <f t="shared" si="192"/>
        <v>0</v>
      </c>
      <c r="AP159" s="75">
        <f t="shared" si="192"/>
        <v>0</v>
      </c>
      <c r="AQ159" s="75">
        <f t="shared" si="192"/>
        <v>0</v>
      </c>
      <c r="AR159" s="75">
        <f t="shared" si="192"/>
        <v>1287564</v>
      </c>
      <c r="AS159" s="75">
        <f t="shared" si="192"/>
        <v>1287564</v>
      </c>
      <c r="AT159" s="76">
        <f t="shared" si="192"/>
        <v>0</v>
      </c>
      <c r="AU159" s="76">
        <f t="shared" si="192"/>
        <v>0</v>
      </c>
      <c r="AV159" s="76">
        <f t="shared" si="192"/>
        <v>0</v>
      </c>
      <c r="AW159" s="76">
        <f t="shared" si="192"/>
        <v>1287564</v>
      </c>
      <c r="AX159" s="76">
        <f t="shared" si="192"/>
        <v>1287564</v>
      </c>
      <c r="AY159" s="75">
        <f t="shared" si="192"/>
        <v>0</v>
      </c>
      <c r="AZ159" s="75">
        <f t="shared" si="192"/>
        <v>0</v>
      </c>
      <c r="BA159" s="75">
        <f t="shared" si="192"/>
        <v>0</v>
      </c>
      <c r="BB159" s="75">
        <f t="shared" si="192"/>
        <v>0</v>
      </c>
      <c r="BC159" s="75">
        <f t="shared" si="192"/>
        <v>-869055</v>
      </c>
      <c r="BD159" s="75">
        <f t="shared" si="192"/>
        <v>418509</v>
      </c>
      <c r="BE159" s="75">
        <f t="shared" si="192"/>
        <v>418509</v>
      </c>
      <c r="BF159" s="75">
        <f t="shared" si="192"/>
        <v>0</v>
      </c>
      <c r="BG159" s="75">
        <f aca="true" t="shared" si="193" ref="BG159:BW160">BG160</f>
        <v>0</v>
      </c>
      <c r="BH159" s="75">
        <f t="shared" si="193"/>
        <v>0</v>
      </c>
      <c r="BI159" s="75">
        <f t="shared" si="193"/>
        <v>418509</v>
      </c>
      <c r="BJ159" s="75">
        <f t="shared" si="193"/>
        <v>418509</v>
      </c>
      <c r="BK159" s="75">
        <f t="shared" si="193"/>
        <v>0</v>
      </c>
      <c r="BL159" s="75">
        <f t="shared" si="193"/>
        <v>0</v>
      </c>
      <c r="BM159" s="75">
        <f t="shared" si="193"/>
        <v>0</v>
      </c>
      <c r="BN159" s="75">
        <f t="shared" si="193"/>
        <v>0</v>
      </c>
      <c r="BO159" s="75">
        <f t="shared" si="193"/>
        <v>418509</v>
      </c>
      <c r="BP159" s="75">
        <f t="shared" si="193"/>
        <v>418509</v>
      </c>
      <c r="BQ159" s="75">
        <f t="shared" si="193"/>
        <v>0</v>
      </c>
      <c r="BR159" s="75"/>
      <c r="BS159" s="75">
        <f t="shared" si="193"/>
        <v>0</v>
      </c>
      <c r="BT159" s="75">
        <f t="shared" si="193"/>
        <v>0</v>
      </c>
      <c r="BU159" s="75">
        <f t="shared" si="193"/>
        <v>418509</v>
      </c>
      <c r="BV159" s="75">
        <f t="shared" si="193"/>
        <v>418509</v>
      </c>
      <c r="BW159" s="75">
        <f t="shared" si="193"/>
        <v>418509</v>
      </c>
      <c r="BX159" s="75">
        <f>BX160</f>
        <v>418509</v>
      </c>
      <c r="BY159" s="77">
        <f t="shared" si="177"/>
        <v>100</v>
      </c>
      <c r="BZ159" s="77">
        <f t="shared" si="177"/>
        <v>100</v>
      </c>
    </row>
    <row r="160" spans="1:78" s="12" customFormat="1" ht="108" customHeight="1" hidden="1">
      <c r="A160" s="142" t="s">
        <v>310</v>
      </c>
      <c r="B160" s="89" t="s">
        <v>160</v>
      </c>
      <c r="C160" s="89" t="s">
        <v>127</v>
      </c>
      <c r="D160" s="90" t="s">
        <v>306</v>
      </c>
      <c r="E160" s="8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>
        <f>U161</f>
        <v>0</v>
      </c>
      <c r="V160" s="69">
        <f t="shared" si="191"/>
        <v>0</v>
      </c>
      <c r="W160" s="69">
        <f t="shared" si="191"/>
        <v>0</v>
      </c>
      <c r="X160" s="69">
        <f t="shared" si="191"/>
        <v>0</v>
      </c>
      <c r="Y160" s="69">
        <f t="shared" si="191"/>
        <v>0</v>
      </c>
      <c r="Z160" s="69">
        <f t="shared" si="191"/>
        <v>0</v>
      </c>
      <c r="AA160" s="75">
        <f t="shared" si="191"/>
        <v>1287564</v>
      </c>
      <c r="AB160" s="75">
        <f t="shared" si="191"/>
        <v>1287564</v>
      </c>
      <c r="AC160" s="75">
        <f t="shared" si="191"/>
        <v>1287564</v>
      </c>
      <c r="AD160" s="75">
        <f t="shared" si="191"/>
        <v>0</v>
      </c>
      <c r="AE160" s="75">
        <f t="shared" si="191"/>
        <v>0</v>
      </c>
      <c r="AF160" s="75">
        <f t="shared" si="191"/>
        <v>0</v>
      </c>
      <c r="AG160" s="75">
        <f t="shared" si="191"/>
        <v>0</v>
      </c>
      <c r="AH160" s="75">
        <f t="shared" si="191"/>
        <v>0</v>
      </c>
      <c r="AI160" s="75">
        <f t="shared" si="191"/>
        <v>1287564</v>
      </c>
      <c r="AJ160" s="75">
        <f t="shared" si="191"/>
        <v>1287564</v>
      </c>
      <c r="AK160" s="75">
        <f t="shared" si="191"/>
        <v>0</v>
      </c>
      <c r="AL160" s="75">
        <f>AL161</f>
        <v>1287564</v>
      </c>
      <c r="AM160" s="75">
        <f>AM161</f>
        <v>1287564</v>
      </c>
      <c r="AN160" s="75">
        <f t="shared" si="192"/>
        <v>0</v>
      </c>
      <c r="AO160" s="75">
        <f t="shared" si="192"/>
        <v>0</v>
      </c>
      <c r="AP160" s="75">
        <f t="shared" si="192"/>
        <v>0</v>
      </c>
      <c r="AQ160" s="75">
        <f t="shared" si="192"/>
        <v>0</v>
      </c>
      <c r="AR160" s="75">
        <f t="shared" si="192"/>
        <v>1287564</v>
      </c>
      <c r="AS160" s="75">
        <f t="shared" si="192"/>
        <v>1287564</v>
      </c>
      <c r="AT160" s="76">
        <f t="shared" si="192"/>
        <v>0</v>
      </c>
      <c r="AU160" s="76">
        <f t="shared" si="192"/>
        <v>0</v>
      </c>
      <c r="AV160" s="76">
        <f t="shared" si="192"/>
        <v>0</v>
      </c>
      <c r="AW160" s="76">
        <f t="shared" si="192"/>
        <v>1287564</v>
      </c>
      <c r="AX160" s="76">
        <f t="shared" si="192"/>
        <v>1287564</v>
      </c>
      <c r="AY160" s="75">
        <f t="shared" si="192"/>
        <v>0</v>
      </c>
      <c r="AZ160" s="75">
        <f t="shared" si="192"/>
        <v>0</v>
      </c>
      <c r="BA160" s="75">
        <f t="shared" si="192"/>
        <v>0</v>
      </c>
      <c r="BB160" s="75">
        <f t="shared" si="192"/>
        <v>0</v>
      </c>
      <c r="BC160" s="75">
        <f t="shared" si="192"/>
        <v>-869055</v>
      </c>
      <c r="BD160" s="75">
        <f t="shared" si="192"/>
        <v>418509</v>
      </c>
      <c r="BE160" s="75">
        <f t="shared" si="192"/>
        <v>418509</v>
      </c>
      <c r="BF160" s="75">
        <f t="shared" si="192"/>
        <v>0</v>
      </c>
      <c r="BG160" s="75">
        <f t="shared" si="193"/>
        <v>0</v>
      </c>
      <c r="BH160" s="75">
        <f t="shared" si="193"/>
        <v>0</v>
      </c>
      <c r="BI160" s="75">
        <f t="shared" si="193"/>
        <v>418509</v>
      </c>
      <c r="BJ160" s="75">
        <f t="shared" si="193"/>
        <v>418509</v>
      </c>
      <c r="BK160" s="75">
        <f t="shared" si="193"/>
        <v>0</v>
      </c>
      <c r="BL160" s="75">
        <f t="shared" si="193"/>
        <v>0</v>
      </c>
      <c r="BM160" s="75">
        <f t="shared" si="193"/>
        <v>0</v>
      </c>
      <c r="BN160" s="75">
        <f t="shared" si="193"/>
        <v>0</v>
      </c>
      <c r="BO160" s="75">
        <f t="shared" si="193"/>
        <v>418509</v>
      </c>
      <c r="BP160" s="75">
        <f t="shared" si="193"/>
        <v>418509</v>
      </c>
      <c r="BQ160" s="75">
        <f t="shared" si="193"/>
        <v>0</v>
      </c>
      <c r="BR160" s="75"/>
      <c r="BS160" s="75">
        <f t="shared" si="193"/>
        <v>0</v>
      </c>
      <c r="BT160" s="75">
        <f t="shared" si="193"/>
        <v>0</v>
      </c>
      <c r="BU160" s="75">
        <f t="shared" si="193"/>
        <v>418509</v>
      </c>
      <c r="BV160" s="75">
        <f t="shared" si="193"/>
        <v>418509</v>
      </c>
      <c r="BW160" s="75">
        <f>BW161</f>
        <v>418509</v>
      </c>
      <c r="BX160" s="75">
        <f>BX161</f>
        <v>418509</v>
      </c>
      <c r="BY160" s="77">
        <f t="shared" si="177"/>
        <v>100</v>
      </c>
      <c r="BZ160" s="77">
        <f t="shared" si="177"/>
        <v>100</v>
      </c>
    </row>
    <row r="161" spans="1:78" s="12" customFormat="1" ht="105.75" customHeight="1" hidden="1">
      <c r="A161" s="88" t="s">
        <v>359</v>
      </c>
      <c r="B161" s="89" t="s">
        <v>160</v>
      </c>
      <c r="C161" s="89" t="s">
        <v>127</v>
      </c>
      <c r="D161" s="90" t="s">
        <v>306</v>
      </c>
      <c r="E161" s="89" t="s">
        <v>145</v>
      </c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75">
        <v>1287564</v>
      </c>
      <c r="AB161" s="75">
        <f>S161+U161+V161+W161+X161+Y161+Z161+AA161</f>
        <v>1287564</v>
      </c>
      <c r="AC161" s="75">
        <f>T161+Z161+AA161</f>
        <v>1287564</v>
      </c>
      <c r="AD161" s="106"/>
      <c r="AE161" s="106"/>
      <c r="AF161" s="69"/>
      <c r="AG161" s="106"/>
      <c r="AH161" s="106"/>
      <c r="AI161" s="75">
        <f>AB161+AD161+AE161+AF161+AG161+AH161</f>
        <v>1287564</v>
      </c>
      <c r="AJ161" s="75">
        <f>AC161+AH161</f>
        <v>1287564</v>
      </c>
      <c r="AK161" s="106"/>
      <c r="AL161" s="75">
        <f>AI161+AK161</f>
        <v>1287564</v>
      </c>
      <c r="AM161" s="75">
        <f>AJ161</f>
        <v>1287564</v>
      </c>
      <c r="AN161" s="75">
        <f>AK161</f>
        <v>0</v>
      </c>
      <c r="AO161" s="75"/>
      <c r="AP161" s="75"/>
      <c r="AQ161" s="75"/>
      <c r="AR161" s="75">
        <f>AL161+AN161+AO161+AP161+AQ161</f>
        <v>1287564</v>
      </c>
      <c r="AS161" s="75">
        <f>AM161+AQ161</f>
        <v>1287564</v>
      </c>
      <c r="AT161" s="76"/>
      <c r="AU161" s="76"/>
      <c r="AV161" s="76"/>
      <c r="AW161" s="76">
        <f>AV161+AU161+AT161+AR161</f>
        <v>1287564</v>
      </c>
      <c r="AX161" s="76">
        <f>AV161+AS161</f>
        <v>1287564</v>
      </c>
      <c r="AY161" s="69"/>
      <c r="AZ161" s="69"/>
      <c r="BA161" s="69"/>
      <c r="BB161" s="69"/>
      <c r="BC161" s="75">
        <v>-869055</v>
      </c>
      <c r="BD161" s="75">
        <f>AW161+AY161+AZ161+BA161+BB161+BC161</f>
        <v>418509</v>
      </c>
      <c r="BE161" s="75">
        <f>AX161+BC161</f>
        <v>418509</v>
      </c>
      <c r="BF161" s="106"/>
      <c r="BG161" s="106"/>
      <c r="BH161" s="106"/>
      <c r="BI161" s="75">
        <f>BD161+BF161+BG161+BH161</f>
        <v>418509</v>
      </c>
      <c r="BJ161" s="75">
        <f>BE161+BH161</f>
        <v>418509</v>
      </c>
      <c r="BK161" s="109"/>
      <c r="BL161" s="109"/>
      <c r="BM161" s="109"/>
      <c r="BN161" s="109"/>
      <c r="BO161" s="75">
        <f>BI161+BK161+BL161+BM161+BN161</f>
        <v>418509</v>
      </c>
      <c r="BP161" s="75">
        <f>BJ161+BN161</f>
        <v>418509</v>
      </c>
      <c r="BQ161" s="106"/>
      <c r="BR161" s="106"/>
      <c r="BS161" s="106"/>
      <c r="BT161" s="106"/>
      <c r="BU161" s="75">
        <f>BO161+BQ161+BS161+BT161</f>
        <v>418509</v>
      </c>
      <c r="BV161" s="75">
        <f>BP161+BT161</f>
        <v>418509</v>
      </c>
      <c r="BW161" s="75">
        <v>418509</v>
      </c>
      <c r="BX161" s="75">
        <v>418509</v>
      </c>
      <c r="BY161" s="77">
        <f t="shared" si="177"/>
        <v>100</v>
      </c>
      <c r="BZ161" s="77">
        <f t="shared" si="177"/>
        <v>100</v>
      </c>
    </row>
    <row r="162" spans="1:78" s="12" customFormat="1" ht="84.75" customHeight="1" hidden="1">
      <c r="A162" s="142" t="s">
        <v>315</v>
      </c>
      <c r="B162" s="89" t="s">
        <v>160</v>
      </c>
      <c r="C162" s="89" t="s">
        <v>127</v>
      </c>
      <c r="D162" s="90" t="s">
        <v>275</v>
      </c>
      <c r="E162" s="89"/>
      <c r="F162" s="69">
        <f aca="true" t="shared" si="194" ref="F162:U163">F163</f>
        <v>0</v>
      </c>
      <c r="G162" s="75">
        <f t="shared" si="194"/>
        <v>82000</v>
      </c>
      <c r="H162" s="75">
        <f t="shared" si="194"/>
        <v>82000</v>
      </c>
      <c r="I162" s="69">
        <f t="shared" si="194"/>
        <v>0</v>
      </c>
      <c r="J162" s="69">
        <f t="shared" si="194"/>
        <v>0</v>
      </c>
      <c r="K162" s="69">
        <f t="shared" si="194"/>
        <v>0</v>
      </c>
      <c r="L162" s="69">
        <f t="shared" si="194"/>
        <v>0</v>
      </c>
      <c r="M162" s="75">
        <f t="shared" si="194"/>
        <v>82000</v>
      </c>
      <c r="N162" s="75">
        <f t="shared" si="194"/>
        <v>0</v>
      </c>
      <c r="O162" s="75">
        <f t="shared" si="194"/>
        <v>0</v>
      </c>
      <c r="P162" s="75"/>
      <c r="Q162" s="75">
        <f t="shared" si="194"/>
        <v>0</v>
      </c>
      <c r="R162" s="75">
        <f t="shared" si="194"/>
        <v>0</v>
      </c>
      <c r="S162" s="75">
        <f t="shared" si="194"/>
        <v>82000</v>
      </c>
      <c r="T162" s="75">
        <f t="shared" si="194"/>
        <v>0</v>
      </c>
      <c r="U162" s="75">
        <f t="shared" si="194"/>
        <v>0</v>
      </c>
      <c r="V162" s="75">
        <f aca="true" t="shared" si="195" ref="V162:AK163">V163</f>
        <v>0</v>
      </c>
      <c r="W162" s="75">
        <f t="shared" si="195"/>
        <v>0</v>
      </c>
      <c r="X162" s="75">
        <f t="shared" si="195"/>
        <v>0</v>
      </c>
      <c r="Y162" s="75">
        <f t="shared" si="195"/>
        <v>-54232</v>
      </c>
      <c r="Z162" s="75">
        <f t="shared" si="195"/>
        <v>0</v>
      </c>
      <c r="AA162" s="75">
        <f t="shared" si="195"/>
        <v>146148</v>
      </c>
      <c r="AB162" s="75">
        <f t="shared" si="195"/>
        <v>173916</v>
      </c>
      <c r="AC162" s="75">
        <f t="shared" si="195"/>
        <v>146148</v>
      </c>
      <c r="AD162" s="75">
        <f t="shared" si="195"/>
        <v>0</v>
      </c>
      <c r="AE162" s="75">
        <f t="shared" si="195"/>
        <v>0</v>
      </c>
      <c r="AF162" s="75">
        <f t="shared" si="195"/>
        <v>0</v>
      </c>
      <c r="AG162" s="75">
        <f t="shared" si="195"/>
        <v>0</v>
      </c>
      <c r="AH162" s="75">
        <f t="shared" si="195"/>
        <v>0</v>
      </c>
      <c r="AI162" s="75">
        <f t="shared" si="195"/>
        <v>173916</v>
      </c>
      <c r="AJ162" s="75">
        <f t="shared" si="195"/>
        <v>146148</v>
      </c>
      <c r="AK162" s="75">
        <f t="shared" si="195"/>
        <v>0</v>
      </c>
      <c r="AL162" s="75">
        <f aca="true" t="shared" si="196" ref="AL162:BC163">AL163</f>
        <v>173916</v>
      </c>
      <c r="AM162" s="75">
        <f t="shared" si="196"/>
        <v>146148</v>
      </c>
      <c r="AN162" s="75">
        <f t="shared" si="196"/>
        <v>0</v>
      </c>
      <c r="AO162" s="75">
        <f t="shared" si="196"/>
        <v>0</v>
      </c>
      <c r="AP162" s="75">
        <f t="shared" si="196"/>
        <v>0</v>
      </c>
      <c r="AQ162" s="75">
        <f t="shared" si="196"/>
        <v>0</v>
      </c>
      <c r="AR162" s="75">
        <f t="shared" si="196"/>
        <v>173916</v>
      </c>
      <c r="AS162" s="75">
        <f t="shared" si="196"/>
        <v>146148</v>
      </c>
      <c r="AT162" s="76">
        <f t="shared" si="196"/>
        <v>0</v>
      </c>
      <c r="AU162" s="76">
        <f t="shared" si="196"/>
        <v>0</v>
      </c>
      <c r="AV162" s="76">
        <f t="shared" si="196"/>
        <v>0</v>
      </c>
      <c r="AW162" s="76">
        <f t="shared" si="196"/>
        <v>173916</v>
      </c>
      <c r="AX162" s="76">
        <f t="shared" si="196"/>
        <v>146148</v>
      </c>
      <c r="AY162" s="75">
        <f t="shared" si="196"/>
        <v>-18742</v>
      </c>
      <c r="AZ162" s="75">
        <f t="shared" si="196"/>
        <v>0</v>
      </c>
      <c r="BA162" s="75">
        <f t="shared" si="196"/>
        <v>0</v>
      </c>
      <c r="BB162" s="75">
        <f t="shared" si="196"/>
        <v>0</v>
      </c>
      <c r="BC162" s="75">
        <f t="shared" si="196"/>
        <v>-98644</v>
      </c>
      <c r="BD162" s="75">
        <f aca="true" t="shared" si="197" ref="AY162:BN163">BD163</f>
        <v>56530</v>
      </c>
      <c r="BE162" s="75">
        <f t="shared" si="197"/>
        <v>47504</v>
      </c>
      <c r="BF162" s="75">
        <f t="shared" si="197"/>
        <v>0</v>
      </c>
      <c r="BG162" s="75">
        <f t="shared" si="197"/>
        <v>0</v>
      </c>
      <c r="BH162" s="75">
        <f t="shared" si="197"/>
        <v>0</v>
      </c>
      <c r="BI162" s="75">
        <f t="shared" si="197"/>
        <v>56530</v>
      </c>
      <c r="BJ162" s="75">
        <f t="shared" si="197"/>
        <v>47504</v>
      </c>
      <c r="BK162" s="75">
        <f t="shared" si="197"/>
        <v>0</v>
      </c>
      <c r="BL162" s="75">
        <f t="shared" si="197"/>
        <v>0</v>
      </c>
      <c r="BM162" s="75">
        <f t="shared" si="197"/>
        <v>0</v>
      </c>
      <c r="BN162" s="75">
        <f t="shared" si="197"/>
        <v>0</v>
      </c>
      <c r="BO162" s="75">
        <f aca="true" t="shared" si="198" ref="BK162:BX163">BO163</f>
        <v>56530</v>
      </c>
      <c r="BP162" s="75">
        <f t="shared" si="198"/>
        <v>47504</v>
      </c>
      <c r="BQ162" s="75">
        <f t="shared" si="198"/>
        <v>0</v>
      </c>
      <c r="BR162" s="75"/>
      <c r="BS162" s="75">
        <f t="shared" si="198"/>
        <v>0</v>
      </c>
      <c r="BT162" s="75">
        <f t="shared" si="198"/>
        <v>0</v>
      </c>
      <c r="BU162" s="75">
        <f t="shared" si="198"/>
        <v>56530</v>
      </c>
      <c r="BV162" s="75">
        <f t="shared" si="198"/>
        <v>47504</v>
      </c>
      <c r="BW162" s="75">
        <f t="shared" si="198"/>
        <v>56530</v>
      </c>
      <c r="BX162" s="75">
        <f t="shared" si="198"/>
        <v>47504</v>
      </c>
      <c r="BY162" s="77">
        <f t="shared" si="177"/>
        <v>100</v>
      </c>
      <c r="BZ162" s="77">
        <f t="shared" si="177"/>
        <v>100</v>
      </c>
    </row>
    <row r="163" spans="1:78" s="12" customFormat="1" ht="55.5" customHeight="1" hidden="1">
      <c r="A163" s="142" t="s">
        <v>316</v>
      </c>
      <c r="B163" s="89" t="s">
        <v>160</v>
      </c>
      <c r="C163" s="89" t="s">
        <v>127</v>
      </c>
      <c r="D163" s="90" t="s">
        <v>276</v>
      </c>
      <c r="E163" s="89"/>
      <c r="F163" s="69">
        <f t="shared" si="194"/>
        <v>0</v>
      </c>
      <c r="G163" s="75">
        <f t="shared" si="194"/>
        <v>82000</v>
      </c>
      <c r="H163" s="75">
        <f t="shared" si="194"/>
        <v>82000</v>
      </c>
      <c r="I163" s="69">
        <f t="shared" si="194"/>
        <v>0</v>
      </c>
      <c r="J163" s="69">
        <f t="shared" si="194"/>
        <v>0</v>
      </c>
      <c r="K163" s="69">
        <f t="shared" si="194"/>
        <v>0</v>
      </c>
      <c r="L163" s="69">
        <f t="shared" si="194"/>
        <v>0</v>
      </c>
      <c r="M163" s="75">
        <f t="shared" si="194"/>
        <v>82000</v>
      </c>
      <c r="N163" s="75">
        <f t="shared" si="194"/>
        <v>0</v>
      </c>
      <c r="O163" s="75">
        <f t="shared" si="194"/>
        <v>0</v>
      </c>
      <c r="P163" s="75"/>
      <c r="Q163" s="75">
        <f t="shared" si="194"/>
        <v>0</v>
      </c>
      <c r="R163" s="75">
        <f t="shared" si="194"/>
        <v>0</v>
      </c>
      <c r="S163" s="75">
        <f t="shared" si="194"/>
        <v>82000</v>
      </c>
      <c r="T163" s="75">
        <f t="shared" si="194"/>
        <v>0</v>
      </c>
      <c r="U163" s="75">
        <f t="shared" si="194"/>
        <v>0</v>
      </c>
      <c r="V163" s="75">
        <f t="shared" si="195"/>
        <v>0</v>
      </c>
      <c r="W163" s="75">
        <f t="shared" si="195"/>
        <v>0</v>
      </c>
      <c r="X163" s="75">
        <f t="shared" si="195"/>
        <v>0</v>
      </c>
      <c r="Y163" s="75">
        <f t="shared" si="195"/>
        <v>-54232</v>
      </c>
      <c r="Z163" s="75">
        <f t="shared" si="195"/>
        <v>0</v>
      </c>
      <c r="AA163" s="75">
        <f t="shared" si="195"/>
        <v>146148</v>
      </c>
      <c r="AB163" s="75">
        <f t="shared" si="195"/>
        <v>173916</v>
      </c>
      <c r="AC163" s="75">
        <f t="shared" si="195"/>
        <v>146148</v>
      </c>
      <c r="AD163" s="75">
        <f t="shared" si="195"/>
        <v>0</v>
      </c>
      <c r="AE163" s="75">
        <f t="shared" si="195"/>
        <v>0</v>
      </c>
      <c r="AF163" s="75">
        <f t="shared" si="195"/>
        <v>0</v>
      </c>
      <c r="AG163" s="75">
        <f t="shared" si="195"/>
        <v>0</v>
      </c>
      <c r="AH163" s="75">
        <f t="shared" si="195"/>
        <v>0</v>
      </c>
      <c r="AI163" s="75">
        <f t="shared" si="195"/>
        <v>173916</v>
      </c>
      <c r="AJ163" s="75">
        <f t="shared" si="195"/>
        <v>146148</v>
      </c>
      <c r="AK163" s="75">
        <f t="shared" si="195"/>
        <v>0</v>
      </c>
      <c r="AL163" s="75">
        <f t="shared" si="196"/>
        <v>173916</v>
      </c>
      <c r="AM163" s="75">
        <f t="shared" si="196"/>
        <v>146148</v>
      </c>
      <c r="AN163" s="75">
        <f t="shared" si="196"/>
        <v>0</v>
      </c>
      <c r="AO163" s="75">
        <f t="shared" si="196"/>
        <v>0</v>
      </c>
      <c r="AP163" s="75">
        <f t="shared" si="196"/>
        <v>0</v>
      </c>
      <c r="AQ163" s="75">
        <f t="shared" si="196"/>
        <v>0</v>
      </c>
      <c r="AR163" s="75">
        <f t="shared" si="196"/>
        <v>173916</v>
      </c>
      <c r="AS163" s="75">
        <f t="shared" si="196"/>
        <v>146148</v>
      </c>
      <c r="AT163" s="76">
        <f t="shared" si="196"/>
        <v>0</v>
      </c>
      <c r="AU163" s="76">
        <f t="shared" si="196"/>
        <v>0</v>
      </c>
      <c r="AV163" s="76">
        <f t="shared" si="196"/>
        <v>0</v>
      </c>
      <c r="AW163" s="76">
        <f t="shared" si="196"/>
        <v>173916</v>
      </c>
      <c r="AX163" s="76">
        <f t="shared" si="196"/>
        <v>146148</v>
      </c>
      <c r="AY163" s="75">
        <f t="shared" si="197"/>
        <v>-18742</v>
      </c>
      <c r="AZ163" s="75">
        <f t="shared" si="197"/>
        <v>0</v>
      </c>
      <c r="BA163" s="75">
        <f t="shared" si="197"/>
        <v>0</v>
      </c>
      <c r="BB163" s="75">
        <f t="shared" si="197"/>
        <v>0</v>
      </c>
      <c r="BC163" s="75">
        <f t="shared" si="197"/>
        <v>-98644</v>
      </c>
      <c r="BD163" s="75">
        <f t="shared" si="197"/>
        <v>56530</v>
      </c>
      <c r="BE163" s="75">
        <f t="shared" si="197"/>
        <v>47504</v>
      </c>
      <c r="BF163" s="75">
        <f t="shared" si="197"/>
        <v>0</v>
      </c>
      <c r="BG163" s="75">
        <f t="shared" si="197"/>
        <v>0</v>
      </c>
      <c r="BH163" s="75">
        <f t="shared" si="197"/>
        <v>0</v>
      </c>
      <c r="BI163" s="75">
        <f t="shared" si="197"/>
        <v>56530</v>
      </c>
      <c r="BJ163" s="75">
        <f t="shared" si="197"/>
        <v>47504</v>
      </c>
      <c r="BK163" s="75">
        <f t="shared" si="198"/>
        <v>0</v>
      </c>
      <c r="BL163" s="75">
        <f t="shared" si="198"/>
        <v>0</v>
      </c>
      <c r="BM163" s="75">
        <f t="shared" si="198"/>
        <v>0</v>
      </c>
      <c r="BN163" s="75">
        <f t="shared" si="198"/>
        <v>0</v>
      </c>
      <c r="BO163" s="75">
        <f t="shared" si="198"/>
        <v>56530</v>
      </c>
      <c r="BP163" s="75">
        <f t="shared" si="198"/>
        <v>47504</v>
      </c>
      <c r="BQ163" s="75">
        <f t="shared" si="198"/>
        <v>0</v>
      </c>
      <c r="BR163" s="75"/>
      <c r="BS163" s="75">
        <f t="shared" si="198"/>
        <v>0</v>
      </c>
      <c r="BT163" s="75">
        <f t="shared" si="198"/>
        <v>0</v>
      </c>
      <c r="BU163" s="75">
        <f t="shared" si="198"/>
        <v>56530</v>
      </c>
      <c r="BV163" s="75">
        <f t="shared" si="198"/>
        <v>47504</v>
      </c>
      <c r="BW163" s="75">
        <f t="shared" si="198"/>
        <v>56530</v>
      </c>
      <c r="BX163" s="75">
        <f t="shared" si="198"/>
        <v>47504</v>
      </c>
      <c r="BY163" s="77">
        <f t="shared" si="177"/>
        <v>100</v>
      </c>
      <c r="BZ163" s="77">
        <f t="shared" si="177"/>
        <v>100</v>
      </c>
    </row>
    <row r="164" spans="1:78" s="12" customFormat="1" ht="103.5" customHeight="1" hidden="1">
      <c r="A164" s="88" t="s">
        <v>359</v>
      </c>
      <c r="B164" s="89" t="s">
        <v>160</v>
      </c>
      <c r="C164" s="89" t="s">
        <v>127</v>
      </c>
      <c r="D164" s="90" t="s">
        <v>276</v>
      </c>
      <c r="E164" s="89" t="s">
        <v>145</v>
      </c>
      <c r="F164" s="69"/>
      <c r="G164" s="75">
        <f>H164-F164</f>
        <v>82000</v>
      </c>
      <c r="H164" s="75">
        <v>82000</v>
      </c>
      <c r="I164" s="69"/>
      <c r="J164" s="69"/>
      <c r="K164" s="69"/>
      <c r="L164" s="69"/>
      <c r="M164" s="75">
        <f>H164+J164+K164+L164</f>
        <v>82000</v>
      </c>
      <c r="N164" s="78">
        <f>I164+L164</f>
        <v>0</v>
      </c>
      <c r="O164" s="69"/>
      <c r="P164" s="69"/>
      <c r="Q164" s="106"/>
      <c r="R164" s="106"/>
      <c r="S164" s="75">
        <f>M164+O164+P164+Q164+R164</f>
        <v>82000</v>
      </c>
      <c r="T164" s="75">
        <f>N164+R164</f>
        <v>0</v>
      </c>
      <c r="U164" s="106"/>
      <c r="V164" s="106"/>
      <c r="W164" s="106"/>
      <c r="X164" s="106"/>
      <c r="Y164" s="75">
        <v>-54232</v>
      </c>
      <c r="Z164" s="75"/>
      <c r="AA164" s="75">
        <v>146148</v>
      </c>
      <c r="AB164" s="75">
        <f>S164+U164+V164+W164+X164+Y164+Z164+AA164</f>
        <v>173916</v>
      </c>
      <c r="AC164" s="75">
        <f>T164+Z164+AA164</f>
        <v>146148</v>
      </c>
      <c r="AD164" s="106"/>
      <c r="AE164" s="106"/>
      <c r="AF164" s="69"/>
      <c r="AG164" s="106"/>
      <c r="AH164" s="106"/>
      <c r="AI164" s="75">
        <f>AB164+AD164+AE164+AF164+AG164+AH164</f>
        <v>173916</v>
      </c>
      <c r="AJ164" s="75">
        <f>AC164+AH164</f>
        <v>146148</v>
      </c>
      <c r="AK164" s="106"/>
      <c r="AL164" s="75">
        <f>AI164+AK164</f>
        <v>173916</v>
      </c>
      <c r="AM164" s="75">
        <f>AJ164</f>
        <v>146148</v>
      </c>
      <c r="AN164" s="106"/>
      <c r="AO164" s="106"/>
      <c r="AP164" s="106"/>
      <c r="AQ164" s="106"/>
      <c r="AR164" s="75">
        <f>AL164+AN164+AO164+AP164+AQ164</f>
        <v>173916</v>
      </c>
      <c r="AS164" s="75">
        <f>AM164+AQ164</f>
        <v>146148</v>
      </c>
      <c r="AT164" s="108"/>
      <c r="AU164" s="108"/>
      <c r="AV164" s="108"/>
      <c r="AW164" s="76">
        <f>AV164+AU164+AT164+AR164</f>
        <v>173916</v>
      </c>
      <c r="AX164" s="76">
        <f>AV164+AS164</f>
        <v>146148</v>
      </c>
      <c r="AY164" s="75">
        <v>-18742</v>
      </c>
      <c r="AZ164" s="69"/>
      <c r="BA164" s="69"/>
      <c r="BB164" s="69"/>
      <c r="BC164" s="75">
        <v>-98644</v>
      </c>
      <c r="BD164" s="75">
        <f>AW164+AY164+AZ164+BA164+BB164+BC164</f>
        <v>56530</v>
      </c>
      <c r="BE164" s="75">
        <f>AX164+BC164</f>
        <v>47504</v>
      </c>
      <c r="BF164" s="106"/>
      <c r="BG164" s="106"/>
      <c r="BH164" s="106"/>
      <c r="BI164" s="75">
        <f>BD164+BF164+BG164+BH164</f>
        <v>56530</v>
      </c>
      <c r="BJ164" s="75">
        <f>BE164+BH164</f>
        <v>47504</v>
      </c>
      <c r="BK164" s="109"/>
      <c r="BL164" s="109"/>
      <c r="BM164" s="109"/>
      <c r="BN164" s="109"/>
      <c r="BO164" s="75">
        <f>BI164+BK164+BL164+BM164+BN164</f>
        <v>56530</v>
      </c>
      <c r="BP164" s="75">
        <f>BJ164+BN164</f>
        <v>47504</v>
      </c>
      <c r="BQ164" s="106"/>
      <c r="BR164" s="106"/>
      <c r="BS164" s="106"/>
      <c r="BT164" s="106"/>
      <c r="BU164" s="75">
        <f>BO164+BQ164+BS164+BT164</f>
        <v>56530</v>
      </c>
      <c r="BV164" s="75">
        <f>BP164+BT164</f>
        <v>47504</v>
      </c>
      <c r="BW164" s="75">
        <v>56530</v>
      </c>
      <c r="BX164" s="75">
        <v>47504</v>
      </c>
      <c r="BY164" s="77">
        <f t="shared" si="177"/>
        <v>100</v>
      </c>
      <c r="BZ164" s="77">
        <f t="shared" si="177"/>
        <v>100</v>
      </c>
    </row>
    <row r="165" spans="1:78" s="12" customFormat="1" ht="56.25" customHeight="1" hidden="1">
      <c r="A165" s="88" t="s">
        <v>152</v>
      </c>
      <c r="B165" s="89" t="s">
        <v>160</v>
      </c>
      <c r="C165" s="89" t="s">
        <v>127</v>
      </c>
      <c r="D165" s="90" t="s">
        <v>39</v>
      </c>
      <c r="E165" s="89"/>
      <c r="F165" s="69">
        <f aca="true" t="shared" si="199" ref="F165:N165">F166</f>
        <v>0</v>
      </c>
      <c r="G165" s="75">
        <f t="shared" si="199"/>
        <v>0</v>
      </c>
      <c r="H165" s="75">
        <f t="shared" si="199"/>
        <v>0</v>
      </c>
      <c r="I165" s="69">
        <f t="shared" si="199"/>
        <v>0</v>
      </c>
      <c r="J165" s="75">
        <f t="shared" si="199"/>
        <v>0</v>
      </c>
      <c r="K165" s="75">
        <f t="shared" si="199"/>
        <v>0</v>
      </c>
      <c r="L165" s="75">
        <f t="shared" si="199"/>
        <v>0</v>
      </c>
      <c r="M165" s="75">
        <f t="shared" si="199"/>
        <v>0</v>
      </c>
      <c r="N165" s="69">
        <f t="shared" si="199"/>
        <v>0</v>
      </c>
      <c r="O165" s="69"/>
      <c r="P165" s="69"/>
      <c r="Q165" s="106"/>
      <c r="R165" s="106"/>
      <c r="S165" s="69"/>
      <c r="T165" s="69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69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8"/>
      <c r="AU165" s="108"/>
      <c r="AV165" s="108"/>
      <c r="AW165" s="108"/>
      <c r="AX165" s="108"/>
      <c r="AY165" s="69"/>
      <c r="AZ165" s="69"/>
      <c r="BA165" s="69"/>
      <c r="BB165" s="69"/>
      <c r="BC165" s="69"/>
      <c r="BD165" s="109"/>
      <c r="BE165" s="109"/>
      <c r="BF165" s="106"/>
      <c r="BG165" s="106"/>
      <c r="BH165" s="106"/>
      <c r="BI165" s="106"/>
      <c r="BJ165" s="106"/>
      <c r="BK165" s="109"/>
      <c r="BL165" s="109"/>
      <c r="BM165" s="109"/>
      <c r="BN165" s="109"/>
      <c r="BO165" s="109"/>
      <c r="BP165" s="109"/>
      <c r="BQ165" s="106"/>
      <c r="BR165" s="106"/>
      <c r="BS165" s="106"/>
      <c r="BT165" s="106"/>
      <c r="BU165" s="106"/>
      <c r="BV165" s="106"/>
      <c r="BW165" s="106"/>
      <c r="BX165" s="106"/>
      <c r="BY165" s="77" t="e">
        <f t="shared" si="177"/>
        <v>#DIV/0!</v>
      </c>
      <c r="BZ165" s="77" t="e">
        <f t="shared" si="177"/>
        <v>#DIV/0!</v>
      </c>
    </row>
    <row r="166" spans="1:78" s="12" customFormat="1" ht="69.75" customHeight="1" hidden="1">
      <c r="A166" s="142" t="s">
        <v>166</v>
      </c>
      <c r="B166" s="89" t="s">
        <v>160</v>
      </c>
      <c r="C166" s="89" t="s">
        <v>127</v>
      </c>
      <c r="D166" s="90" t="s">
        <v>39</v>
      </c>
      <c r="E166" s="89" t="s">
        <v>167</v>
      </c>
      <c r="F166" s="69"/>
      <c r="G166" s="75">
        <f>H166-F166</f>
        <v>0</v>
      </c>
      <c r="H166" s="75">
        <f>1800-1800</f>
        <v>0</v>
      </c>
      <c r="I166" s="69"/>
      <c r="J166" s="75"/>
      <c r="K166" s="75"/>
      <c r="L166" s="75"/>
      <c r="M166" s="75">
        <f>H166+J166+K166+L166</f>
        <v>0</v>
      </c>
      <c r="N166" s="78">
        <f>I166+L166</f>
        <v>0</v>
      </c>
      <c r="O166" s="69"/>
      <c r="P166" s="69"/>
      <c r="Q166" s="106"/>
      <c r="R166" s="106"/>
      <c r="S166" s="69"/>
      <c r="T166" s="69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69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8"/>
      <c r="AU166" s="108"/>
      <c r="AV166" s="108"/>
      <c r="AW166" s="108"/>
      <c r="AX166" s="108"/>
      <c r="AY166" s="69"/>
      <c r="AZ166" s="69"/>
      <c r="BA166" s="69"/>
      <c r="BB166" s="69"/>
      <c r="BC166" s="69"/>
      <c r="BD166" s="109"/>
      <c r="BE166" s="109"/>
      <c r="BF166" s="106"/>
      <c r="BG166" s="106"/>
      <c r="BH166" s="106"/>
      <c r="BI166" s="106"/>
      <c r="BJ166" s="106"/>
      <c r="BK166" s="109"/>
      <c r="BL166" s="109"/>
      <c r="BM166" s="109"/>
      <c r="BN166" s="109"/>
      <c r="BO166" s="109"/>
      <c r="BP166" s="109"/>
      <c r="BQ166" s="106"/>
      <c r="BR166" s="106"/>
      <c r="BS166" s="106"/>
      <c r="BT166" s="106"/>
      <c r="BU166" s="106"/>
      <c r="BV166" s="106"/>
      <c r="BW166" s="106"/>
      <c r="BX166" s="106"/>
      <c r="BY166" s="77" t="e">
        <f t="shared" si="177"/>
        <v>#DIV/0!</v>
      </c>
      <c r="BZ166" s="77" t="e">
        <f t="shared" si="177"/>
        <v>#DIV/0!</v>
      </c>
    </row>
    <row r="167" spans="1:78" s="12" customFormat="1" ht="28.5" customHeight="1" hidden="1">
      <c r="A167" s="142" t="s">
        <v>179</v>
      </c>
      <c r="B167" s="89" t="s">
        <v>160</v>
      </c>
      <c r="C167" s="89" t="s">
        <v>127</v>
      </c>
      <c r="D167" s="90" t="s">
        <v>52</v>
      </c>
      <c r="E167" s="89"/>
      <c r="F167" s="75">
        <f>F168+F169+F171+F173</f>
        <v>201347</v>
      </c>
      <c r="G167" s="75">
        <f>G168+G169+G171+G173</f>
        <v>-151625</v>
      </c>
      <c r="H167" s="75">
        <f>H168+H169+H171+H173</f>
        <v>49722</v>
      </c>
      <c r="I167" s="75">
        <f aca="true" t="shared" si="200" ref="I167:T167">I168+I169+I171+I173</f>
        <v>0</v>
      </c>
      <c r="J167" s="75">
        <f t="shared" si="200"/>
        <v>0</v>
      </c>
      <c r="K167" s="75">
        <f t="shared" si="200"/>
        <v>0</v>
      </c>
      <c r="L167" s="75">
        <f t="shared" si="200"/>
        <v>0</v>
      </c>
      <c r="M167" s="75">
        <f t="shared" si="200"/>
        <v>49722</v>
      </c>
      <c r="N167" s="75">
        <f t="shared" si="200"/>
        <v>0</v>
      </c>
      <c r="O167" s="75">
        <f t="shared" si="200"/>
        <v>0</v>
      </c>
      <c r="P167" s="75"/>
      <c r="Q167" s="75">
        <f t="shared" si="200"/>
        <v>0</v>
      </c>
      <c r="R167" s="75">
        <f t="shared" si="200"/>
        <v>0</v>
      </c>
      <c r="S167" s="75">
        <f t="shared" si="200"/>
        <v>49722</v>
      </c>
      <c r="T167" s="75">
        <f t="shared" si="200"/>
        <v>0</v>
      </c>
      <c r="U167" s="75">
        <f>U168+U169+U171+U173+U175</f>
        <v>0</v>
      </c>
      <c r="V167" s="75">
        <f aca="true" t="shared" si="201" ref="V167:AS167">V168+V169+V171+V173+V175</f>
        <v>0</v>
      </c>
      <c r="W167" s="75">
        <f t="shared" si="201"/>
        <v>0</v>
      </c>
      <c r="X167" s="75">
        <f t="shared" si="201"/>
        <v>0</v>
      </c>
      <c r="Y167" s="75">
        <f t="shared" si="201"/>
        <v>54232</v>
      </c>
      <c r="Z167" s="75">
        <f t="shared" si="201"/>
        <v>0</v>
      </c>
      <c r="AA167" s="75">
        <f t="shared" si="201"/>
        <v>0</v>
      </c>
      <c r="AB167" s="75">
        <f t="shared" si="201"/>
        <v>103954</v>
      </c>
      <c r="AC167" s="75">
        <f t="shared" si="201"/>
        <v>0</v>
      </c>
      <c r="AD167" s="75">
        <f t="shared" si="201"/>
        <v>0</v>
      </c>
      <c r="AE167" s="75">
        <f t="shared" si="201"/>
        <v>0</v>
      </c>
      <c r="AF167" s="75">
        <f t="shared" si="201"/>
        <v>-44362</v>
      </c>
      <c r="AG167" s="75">
        <f t="shared" si="201"/>
        <v>0</v>
      </c>
      <c r="AH167" s="75">
        <f t="shared" si="201"/>
        <v>0</v>
      </c>
      <c r="AI167" s="75">
        <f t="shared" si="201"/>
        <v>59592</v>
      </c>
      <c r="AJ167" s="75">
        <f t="shared" si="201"/>
        <v>0</v>
      </c>
      <c r="AK167" s="75">
        <f t="shared" si="201"/>
        <v>0</v>
      </c>
      <c r="AL167" s="75">
        <f t="shared" si="201"/>
        <v>59592</v>
      </c>
      <c r="AM167" s="75">
        <f t="shared" si="201"/>
        <v>0</v>
      </c>
      <c r="AN167" s="75">
        <f t="shared" si="201"/>
        <v>329</v>
      </c>
      <c r="AO167" s="75">
        <f t="shared" si="201"/>
        <v>0</v>
      </c>
      <c r="AP167" s="75">
        <f t="shared" si="201"/>
        <v>0</v>
      </c>
      <c r="AQ167" s="75">
        <f t="shared" si="201"/>
        <v>0</v>
      </c>
      <c r="AR167" s="75">
        <f t="shared" si="201"/>
        <v>59921</v>
      </c>
      <c r="AS167" s="75">
        <f t="shared" si="201"/>
        <v>0</v>
      </c>
      <c r="AT167" s="76">
        <f>AT168+AT169+AT171+AT173+AT175</f>
        <v>0</v>
      </c>
      <c r="AU167" s="76">
        <f>AU168+AU169+AU171+AU173+AU175</f>
        <v>0</v>
      </c>
      <c r="AV167" s="76">
        <f>AV168+AV169+AV171+AV173+AV175</f>
        <v>0</v>
      </c>
      <c r="AW167" s="76">
        <f>AW168+AW169+AW171+AW173+AW175</f>
        <v>59921</v>
      </c>
      <c r="AX167" s="76">
        <f aca="true" t="shared" si="202" ref="AX167:BV167">AX168+AX169+AX171+AX173+AX175</f>
        <v>0</v>
      </c>
      <c r="AY167" s="75">
        <f t="shared" si="202"/>
        <v>-13300</v>
      </c>
      <c r="AZ167" s="75">
        <f t="shared" si="202"/>
        <v>-4947</v>
      </c>
      <c r="BA167" s="75">
        <f t="shared" si="202"/>
        <v>0</v>
      </c>
      <c r="BB167" s="75">
        <f t="shared" si="202"/>
        <v>-3727</v>
      </c>
      <c r="BC167" s="75">
        <f t="shared" si="202"/>
        <v>0</v>
      </c>
      <c r="BD167" s="75">
        <f t="shared" si="202"/>
        <v>37947</v>
      </c>
      <c r="BE167" s="75">
        <f t="shared" si="202"/>
        <v>0</v>
      </c>
      <c r="BF167" s="75">
        <f t="shared" si="202"/>
        <v>0</v>
      </c>
      <c r="BG167" s="75">
        <f t="shared" si="202"/>
        <v>0</v>
      </c>
      <c r="BH167" s="75">
        <f t="shared" si="202"/>
        <v>0</v>
      </c>
      <c r="BI167" s="75">
        <f t="shared" si="202"/>
        <v>37947</v>
      </c>
      <c r="BJ167" s="75">
        <f t="shared" si="202"/>
        <v>0</v>
      </c>
      <c r="BK167" s="75">
        <f t="shared" si="202"/>
        <v>0</v>
      </c>
      <c r="BL167" s="75">
        <f t="shared" si="202"/>
        <v>0</v>
      </c>
      <c r="BM167" s="75">
        <f t="shared" si="202"/>
        <v>0</v>
      </c>
      <c r="BN167" s="75">
        <f t="shared" si="202"/>
        <v>0</v>
      </c>
      <c r="BO167" s="75">
        <f t="shared" si="202"/>
        <v>37947</v>
      </c>
      <c r="BP167" s="75">
        <f t="shared" si="202"/>
        <v>0</v>
      </c>
      <c r="BQ167" s="75">
        <f t="shared" si="202"/>
        <v>0</v>
      </c>
      <c r="BR167" s="75"/>
      <c r="BS167" s="75">
        <f t="shared" si="202"/>
        <v>0</v>
      </c>
      <c r="BT167" s="75">
        <f t="shared" si="202"/>
        <v>0</v>
      </c>
      <c r="BU167" s="75">
        <f t="shared" si="202"/>
        <v>37947</v>
      </c>
      <c r="BV167" s="75">
        <f t="shared" si="202"/>
        <v>0</v>
      </c>
      <c r="BW167" s="75">
        <f>BW168+BW169+BW171+BW173+BW175</f>
        <v>30948</v>
      </c>
      <c r="BX167" s="75">
        <f>BX168+BX169+BX171+BX173+BX175</f>
        <v>0</v>
      </c>
      <c r="BY167" s="77">
        <f t="shared" si="177"/>
        <v>81.55585421772471</v>
      </c>
      <c r="BZ167" s="77"/>
    </row>
    <row r="168" spans="1:78" s="12" customFormat="1" ht="72" customHeight="1" hidden="1">
      <c r="A168" s="143" t="s">
        <v>138</v>
      </c>
      <c r="B168" s="89" t="s">
        <v>160</v>
      </c>
      <c r="C168" s="89" t="s">
        <v>127</v>
      </c>
      <c r="D168" s="90" t="s">
        <v>52</v>
      </c>
      <c r="E168" s="89" t="s">
        <v>139</v>
      </c>
      <c r="F168" s="75">
        <v>63259</v>
      </c>
      <c r="G168" s="75">
        <f>H168-F168</f>
        <v>-63155</v>
      </c>
      <c r="H168" s="75">
        <v>104</v>
      </c>
      <c r="I168" s="69"/>
      <c r="J168" s="69"/>
      <c r="K168" s="69"/>
      <c r="L168" s="69"/>
      <c r="M168" s="75">
        <f>H168+J168+K168+L168</f>
        <v>104</v>
      </c>
      <c r="N168" s="78">
        <f>I168+L168</f>
        <v>0</v>
      </c>
      <c r="O168" s="69"/>
      <c r="P168" s="69"/>
      <c r="Q168" s="106"/>
      <c r="R168" s="106"/>
      <c r="S168" s="75">
        <f>M168+O168+P168+Q168+R168</f>
        <v>104</v>
      </c>
      <c r="T168" s="75">
        <f>N168+R168</f>
        <v>0</v>
      </c>
      <c r="U168" s="106"/>
      <c r="V168" s="106"/>
      <c r="W168" s="106"/>
      <c r="X168" s="106"/>
      <c r="Y168" s="106"/>
      <c r="Z168" s="106"/>
      <c r="AA168" s="106"/>
      <c r="AB168" s="75">
        <f>S168+U168+V168+W168+X168+Y168+Z168+AA168</f>
        <v>104</v>
      </c>
      <c r="AC168" s="75">
        <f>T168+Z168+AA168</f>
        <v>0</v>
      </c>
      <c r="AD168" s="106"/>
      <c r="AE168" s="106"/>
      <c r="AF168" s="69"/>
      <c r="AG168" s="106"/>
      <c r="AH168" s="106"/>
      <c r="AI168" s="75">
        <f>AB168+AD168+AE168+AF168+AG168+AH168</f>
        <v>104</v>
      </c>
      <c r="AJ168" s="75">
        <f>AC168+AH168</f>
        <v>0</v>
      </c>
      <c r="AK168" s="106"/>
      <c r="AL168" s="75">
        <f>AI168+AK168</f>
        <v>104</v>
      </c>
      <c r="AM168" s="75">
        <f>AJ168</f>
        <v>0</v>
      </c>
      <c r="AN168" s="78">
        <v>329</v>
      </c>
      <c r="AO168" s="106"/>
      <c r="AP168" s="106"/>
      <c r="AQ168" s="106"/>
      <c r="AR168" s="75">
        <f>AL168+AN168+AO168+AP168+AQ168</f>
        <v>433</v>
      </c>
      <c r="AS168" s="75">
        <f>AM168+AQ168</f>
        <v>0</v>
      </c>
      <c r="AT168" s="76">
        <v>33325</v>
      </c>
      <c r="AU168" s="76"/>
      <c r="AV168" s="76"/>
      <c r="AW168" s="76">
        <f>AV168+AU168+AT168+AR168</f>
        <v>33758</v>
      </c>
      <c r="AX168" s="76">
        <f>AV168+AS168</f>
        <v>0</v>
      </c>
      <c r="AY168" s="75">
        <v>-13300</v>
      </c>
      <c r="AZ168" s="75">
        <v>-4947</v>
      </c>
      <c r="BA168" s="75"/>
      <c r="BB168" s="75">
        <v>-3727</v>
      </c>
      <c r="BC168" s="69"/>
      <c r="BD168" s="75">
        <f>AW168+AY168+AZ168+BA168+BB168+BC168</f>
        <v>11784</v>
      </c>
      <c r="BE168" s="75">
        <f>AX168+BC168</f>
        <v>0</v>
      </c>
      <c r="BF168" s="106"/>
      <c r="BG168" s="106"/>
      <c r="BH168" s="106"/>
      <c r="BI168" s="75">
        <f>BD168+BF168+BG168+BH168</f>
        <v>11784</v>
      </c>
      <c r="BJ168" s="75">
        <f>BE168+BH168</f>
        <v>0</v>
      </c>
      <c r="BK168" s="109"/>
      <c r="BL168" s="109"/>
      <c r="BM168" s="109"/>
      <c r="BN168" s="109"/>
      <c r="BO168" s="75">
        <f>BI168+BK168+BL168+BM168+BN168</f>
        <v>11784</v>
      </c>
      <c r="BP168" s="75">
        <f>BJ168+BN168</f>
        <v>0</v>
      </c>
      <c r="BQ168" s="106"/>
      <c r="BR168" s="106"/>
      <c r="BS168" s="106"/>
      <c r="BT168" s="106"/>
      <c r="BU168" s="75">
        <f>BO168+BQ168+BS168+BT168</f>
        <v>11784</v>
      </c>
      <c r="BV168" s="75">
        <f>BP168+BT168</f>
        <v>0</v>
      </c>
      <c r="BW168" s="75">
        <v>4785</v>
      </c>
      <c r="BX168" s="75">
        <f>BR168+BV168</f>
        <v>0</v>
      </c>
      <c r="BY168" s="77">
        <f t="shared" si="177"/>
        <v>40.605906313645626</v>
      </c>
      <c r="BZ168" s="72"/>
    </row>
    <row r="169" spans="1:78" s="12" customFormat="1" ht="107.25" customHeight="1" hidden="1">
      <c r="A169" s="143" t="s">
        <v>215</v>
      </c>
      <c r="B169" s="89" t="s">
        <v>160</v>
      </c>
      <c r="C169" s="89" t="s">
        <v>127</v>
      </c>
      <c r="D169" s="90" t="s">
        <v>189</v>
      </c>
      <c r="E169" s="89"/>
      <c r="F169" s="91">
        <f>F170</f>
        <v>18000</v>
      </c>
      <c r="G169" s="91">
        <f>G170</f>
        <v>-3877</v>
      </c>
      <c r="H169" s="91">
        <f>H170</f>
        <v>14123</v>
      </c>
      <c r="I169" s="91">
        <f aca="true" t="shared" si="203" ref="I169:BW169">I170</f>
        <v>0</v>
      </c>
      <c r="J169" s="91">
        <f t="shared" si="203"/>
        <v>0</v>
      </c>
      <c r="K169" s="91">
        <f t="shared" si="203"/>
        <v>0</v>
      </c>
      <c r="L169" s="91">
        <f t="shared" si="203"/>
        <v>0</v>
      </c>
      <c r="M169" s="91">
        <f t="shared" si="203"/>
        <v>14123</v>
      </c>
      <c r="N169" s="91">
        <f t="shared" si="203"/>
        <v>0</v>
      </c>
      <c r="O169" s="91">
        <f t="shared" si="203"/>
        <v>0</v>
      </c>
      <c r="P169" s="91"/>
      <c r="Q169" s="91">
        <f t="shared" si="203"/>
        <v>0</v>
      </c>
      <c r="R169" s="91">
        <f t="shared" si="203"/>
        <v>0</v>
      </c>
      <c r="S169" s="91">
        <f t="shared" si="203"/>
        <v>14123</v>
      </c>
      <c r="T169" s="91">
        <f t="shared" si="203"/>
        <v>0</v>
      </c>
      <c r="U169" s="91">
        <f t="shared" si="203"/>
        <v>0</v>
      </c>
      <c r="V169" s="91">
        <f t="shared" si="203"/>
        <v>0</v>
      </c>
      <c r="W169" s="91">
        <f t="shared" si="203"/>
        <v>0</v>
      </c>
      <c r="X169" s="91">
        <f t="shared" si="203"/>
        <v>0</v>
      </c>
      <c r="Y169" s="91">
        <f t="shared" si="203"/>
        <v>0</v>
      </c>
      <c r="Z169" s="91">
        <f t="shared" si="203"/>
        <v>0</v>
      </c>
      <c r="AA169" s="91">
        <f t="shared" si="203"/>
        <v>0</v>
      </c>
      <c r="AB169" s="91">
        <f t="shared" si="203"/>
        <v>14123</v>
      </c>
      <c r="AC169" s="91">
        <f t="shared" si="203"/>
        <v>0</v>
      </c>
      <c r="AD169" s="91">
        <f t="shared" si="203"/>
        <v>0</v>
      </c>
      <c r="AE169" s="91">
        <f t="shared" si="203"/>
        <v>0</v>
      </c>
      <c r="AF169" s="91">
        <f t="shared" si="203"/>
        <v>0</v>
      </c>
      <c r="AG169" s="91">
        <f t="shared" si="203"/>
        <v>0</v>
      </c>
      <c r="AH169" s="91">
        <f t="shared" si="203"/>
        <v>0</v>
      </c>
      <c r="AI169" s="91">
        <f t="shared" si="203"/>
        <v>14123</v>
      </c>
      <c r="AJ169" s="91">
        <f t="shared" si="203"/>
        <v>0</v>
      </c>
      <c r="AK169" s="91">
        <f t="shared" si="203"/>
        <v>0</v>
      </c>
      <c r="AL169" s="91">
        <f t="shared" si="203"/>
        <v>14123</v>
      </c>
      <c r="AM169" s="91">
        <f t="shared" si="203"/>
        <v>0</v>
      </c>
      <c r="AN169" s="91">
        <f t="shared" si="203"/>
        <v>0</v>
      </c>
      <c r="AO169" s="91">
        <f t="shared" si="203"/>
        <v>0</v>
      </c>
      <c r="AP169" s="91">
        <f t="shared" si="203"/>
        <v>0</v>
      </c>
      <c r="AQ169" s="91">
        <f t="shared" si="203"/>
        <v>0</v>
      </c>
      <c r="AR169" s="91">
        <f t="shared" si="203"/>
        <v>14123</v>
      </c>
      <c r="AS169" s="91">
        <f t="shared" si="203"/>
        <v>0</v>
      </c>
      <c r="AT169" s="92">
        <f t="shared" si="203"/>
        <v>0</v>
      </c>
      <c r="AU169" s="92">
        <f t="shared" si="203"/>
        <v>0</v>
      </c>
      <c r="AV169" s="92">
        <f t="shared" si="203"/>
        <v>0</v>
      </c>
      <c r="AW169" s="92">
        <f t="shared" si="203"/>
        <v>14123</v>
      </c>
      <c r="AX169" s="92">
        <f t="shared" si="203"/>
        <v>0</v>
      </c>
      <c r="AY169" s="91">
        <f t="shared" si="203"/>
        <v>0</v>
      </c>
      <c r="AZ169" s="91">
        <f t="shared" si="203"/>
        <v>0</v>
      </c>
      <c r="BA169" s="91">
        <f t="shared" si="203"/>
        <v>0</v>
      </c>
      <c r="BB169" s="91">
        <f t="shared" si="203"/>
        <v>0</v>
      </c>
      <c r="BC169" s="91">
        <f t="shared" si="203"/>
        <v>0</v>
      </c>
      <c r="BD169" s="91">
        <f t="shared" si="203"/>
        <v>14123</v>
      </c>
      <c r="BE169" s="91">
        <f t="shared" si="203"/>
        <v>0</v>
      </c>
      <c r="BF169" s="91">
        <f t="shared" si="203"/>
        <v>0</v>
      </c>
      <c r="BG169" s="91">
        <f t="shared" si="203"/>
        <v>0</v>
      </c>
      <c r="BH169" s="91">
        <f t="shared" si="203"/>
        <v>0</v>
      </c>
      <c r="BI169" s="91">
        <f t="shared" si="203"/>
        <v>14123</v>
      </c>
      <c r="BJ169" s="91">
        <f t="shared" si="203"/>
        <v>0</v>
      </c>
      <c r="BK169" s="91">
        <f t="shared" si="203"/>
        <v>0</v>
      </c>
      <c r="BL169" s="91">
        <f t="shared" si="203"/>
        <v>0</v>
      </c>
      <c r="BM169" s="91">
        <f t="shared" si="203"/>
        <v>0</v>
      </c>
      <c r="BN169" s="91">
        <f t="shared" si="203"/>
        <v>0</v>
      </c>
      <c r="BO169" s="91">
        <f t="shared" si="203"/>
        <v>14123</v>
      </c>
      <c r="BP169" s="91">
        <f t="shared" si="203"/>
        <v>0</v>
      </c>
      <c r="BQ169" s="91">
        <f t="shared" si="203"/>
        <v>0</v>
      </c>
      <c r="BR169" s="91"/>
      <c r="BS169" s="91">
        <f t="shared" si="203"/>
        <v>0</v>
      </c>
      <c r="BT169" s="91">
        <f t="shared" si="203"/>
        <v>0</v>
      </c>
      <c r="BU169" s="91">
        <f t="shared" si="203"/>
        <v>14123</v>
      </c>
      <c r="BV169" s="91">
        <f>BV170</f>
        <v>0</v>
      </c>
      <c r="BW169" s="91">
        <f t="shared" si="203"/>
        <v>14123</v>
      </c>
      <c r="BX169" s="91">
        <f>BX170</f>
        <v>0</v>
      </c>
      <c r="BY169" s="77">
        <f t="shared" si="177"/>
        <v>100</v>
      </c>
      <c r="BZ169" s="72"/>
    </row>
    <row r="170" spans="1:78" s="14" customFormat="1" ht="105" customHeight="1" hidden="1">
      <c r="A170" s="88" t="s">
        <v>359</v>
      </c>
      <c r="B170" s="89" t="s">
        <v>160</v>
      </c>
      <c r="C170" s="89" t="s">
        <v>127</v>
      </c>
      <c r="D170" s="90" t="s">
        <v>189</v>
      </c>
      <c r="E170" s="89" t="s">
        <v>145</v>
      </c>
      <c r="F170" s="75">
        <v>18000</v>
      </c>
      <c r="G170" s="75">
        <f>H170-F170</f>
        <v>-3877</v>
      </c>
      <c r="H170" s="75">
        <v>14123</v>
      </c>
      <c r="I170" s="75"/>
      <c r="J170" s="75"/>
      <c r="K170" s="75"/>
      <c r="L170" s="75"/>
      <c r="M170" s="75">
        <f>H170+J170+K170+L170</f>
        <v>14123</v>
      </c>
      <c r="N170" s="78">
        <f>I170+L170</f>
        <v>0</v>
      </c>
      <c r="O170" s="75"/>
      <c r="P170" s="75"/>
      <c r="Q170" s="79"/>
      <c r="R170" s="79"/>
      <c r="S170" s="75">
        <f>M170+O170+P170+Q170+R170</f>
        <v>14123</v>
      </c>
      <c r="T170" s="75">
        <f>N170+R170</f>
        <v>0</v>
      </c>
      <c r="U170" s="79"/>
      <c r="V170" s="79"/>
      <c r="W170" s="79"/>
      <c r="X170" s="79"/>
      <c r="Y170" s="79"/>
      <c r="Z170" s="79"/>
      <c r="AA170" s="79"/>
      <c r="AB170" s="75">
        <f>S170+U170+V170+W170+X170+Y170+Z170+AA170</f>
        <v>14123</v>
      </c>
      <c r="AC170" s="75">
        <f>T170+Z170+AA170</f>
        <v>0</v>
      </c>
      <c r="AD170" s="79"/>
      <c r="AE170" s="79"/>
      <c r="AF170" s="75"/>
      <c r="AG170" s="79"/>
      <c r="AH170" s="79"/>
      <c r="AI170" s="75">
        <f>AB170+AD170+AE170+AF170+AG170+AH170</f>
        <v>14123</v>
      </c>
      <c r="AJ170" s="75">
        <f>AC170+AH170</f>
        <v>0</v>
      </c>
      <c r="AK170" s="79"/>
      <c r="AL170" s="75">
        <f>AI170+AK170</f>
        <v>14123</v>
      </c>
      <c r="AM170" s="75">
        <f>AJ170</f>
        <v>0</v>
      </c>
      <c r="AN170" s="79"/>
      <c r="AO170" s="79"/>
      <c r="AP170" s="79"/>
      <c r="AQ170" s="79"/>
      <c r="AR170" s="75">
        <f>AL170+AN170+AO170+AP170+AQ170</f>
        <v>14123</v>
      </c>
      <c r="AS170" s="75">
        <f>AM170+AQ170</f>
        <v>0</v>
      </c>
      <c r="AT170" s="81"/>
      <c r="AU170" s="81"/>
      <c r="AV170" s="81"/>
      <c r="AW170" s="76">
        <f>AV170+AU170+AT170+AR170</f>
        <v>14123</v>
      </c>
      <c r="AX170" s="76">
        <f>AV170+AS170</f>
        <v>0</v>
      </c>
      <c r="AY170" s="75"/>
      <c r="AZ170" s="75"/>
      <c r="BA170" s="75"/>
      <c r="BB170" s="75"/>
      <c r="BC170" s="75"/>
      <c r="BD170" s="75">
        <f>AW170+AY170+AZ170+BA170+BB170+BC170</f>
        <v>14123</v>
      </c>
      <c r="BE170" s="75">
        <f>AX170+BC170</f>
        <v>0</v>
      </c>
      <c r="BF170" s="79"/>
      <c r="BG170" s="79"/>
      <c r="BH170" s="79"/>
      <c r="BI170" s="75">
        <f>BD170+BF170+BG170+BH170</f>
        <v>14123</v>
      </c>
      <c r="BJ170" s="75">
        <f>BE170+BH170</f>
        <v>0</v>
      </c>
      <c r="BK170" s="78"/>
      <c r="BL170" s="78"/>
      <c r="BM170" s="78"/>
      <c r="BN170" s="78"/>
      <c r="BO170" s="75">
        <f>BI170+BK170+BL170+BM170+BN170</f>
        <v>14123</v>
      </c>
      <c r="BP170" s="75">
        <f>BJ170+BN170</f>
        <v>0</v>
      </c>
      <c r="BQ170" s="79"/>
      <c r="BR170" s="79"/>
      <c r="BS170" s="79"/>
      <c r="BT170" s="79"/>
      <c r="BU170" s="75">
        <f>BO170+BQ170+BS170+BT170</f>
        <v>14123</v>
      </c>
      <c r="BV170" s="75">
        <f>BP170+BT170</f>
        <v>0</v>
      </c>
      <c r="BW170" s="75">
        <v>14123</v>
      </c>
      <c r="BX170" s="75">
        <f>BR170+BV170</f>
        <v>0</v>
      </c>
      <c r="BY170" s="77">
        <f t="shared" si="177"/>
        <v>100</v>
      </c>
      <c r="BZ170" s="72"/>
    </row>
    <row r="171" spans="1:78" s="14" customFormat="1" ht="40.5" customHeight="1" hidden="1">
      <c r="A171" s="88" t="s">
        <v>216</v>
      </c>
      <c r="B171" s="89" t="s">
        <v>160</v>
      </c>
      <c r="C171" s="89" t="s">
        <v>127</v>
      </c>
      <c r="D171" s="90" t="s">
        <v>190</v>
      </c>
      <c r="E171" s="89"/>
      <c r="F171" s="75">
        <f>F172</f>
        <v>99920</v>
      </c>
      <c r="G171" s="75">
        <f>G172</f>
        <v>-87880</v>
      </c>
      <c r="H171" s="75">
        <f>H172</f>
        <v>12040</v>
      </c>
      <c r="I171" s="75">
        <f aca="true" t="shared" si="204" ref="I171:BW171">I172</f>
        <v>0</v>
      </c>
      <c r="J171" s="75">
        <f t="shared" si="204"/>
        <v>0</v>
      </c>
      <c r="K171" s="75">
        <f t="shared" si="204"/>
        <v>0</v>
      </c>
      <c r="L171" s="75">
        <f t="shared" si="204"/>
        <v>0</v>
      </c>
      <c r="M171" s="75">
        <f t="shared" si="204"/>
        <v>12040</v>
      </c>
      <c r="N171" s="75">
        <f t="shared" si="204"/>
        <v>0</v>
      </c>
      <c r="O171" s="75">
        <f t="shared" si="204"/>
        <v>0</v>
      </c>
      <c r="P171" s="75"/>
      <c r="Q171" s="75">
        <f t="shared" si="204"/>
        <v>0</v>
      </c>
      <c r="R171" s="75">
        <f t="shared" si="204"/>
        <v>0</v>
      </c>
      <c r="S171" s="75">
        <f t="shared" si="204"/>
        <v>12040</v>
      </c>
      <c r="T171" s="75">
        <f t="shared" si="204"/>
        <v>0</v>
      </c>
      <c r="U171" s="75">
        <f t="shared" si="204"/>
        <v>0</v>
      </c>
      <c r="V171" s="75">
        <f t="shared" si="204"/>
        <v>0</v>
      </c>
      <c r="W171" s="75">
        <f t="shared" si="204"/>
        <v>0</v>
      </c>
      <c r="X171" s="75">
        <f t="shared" si="204"/>
        <v>0</v>
      </c>
      <c r="Y171" s="75">
        <f t="shared" si="204"/>
        <v>0</v>
      </c>
      <c r="Z171" s="75">
        <f t="shared" si="204"/>
        <v>0</v>
      </c>
      <c r="AA171" s="75">
        <f t="shared" si="204"/>
        <v>0</v>
      </c>
      <c r="AB171" s="75">
        <f t="shared" si="204"/>
        <v>12040</v>
      </c>
      <c r="AC171" s="75">
        <f t="shared" si="204"/>
        <v>0</v>
      </c>
      <c r="AD171" s="75">
        <f t="shared" si="204"/>
        <v>0</v>
      </c>
      <c r="AE171" s="75">
        <f t="shared" si="204"/>
        <v>0</v>
      </c>
      <c r="AF171" s="75">
        <f t="shared" si="204"/>
        <v>0</v>
      </c>
      <c r="AG171" s="75">
        <f t="shared" si="204"/>
        <v>0</v>
      </c>
      <c r="AH171" s="75">
        <f t="shared" si="204"/>
        <v>0</v>
      </c>
      <c r="AI171" s="75">
        <f t="shared" si="204"/>
        <v>12040</v>
      </c>
      <c r="AJ171" s="75">
        <f t="shared" si="204"/>
        <v>0</v>
      </c>
      <c r="AK171" s="75">
        <f t="shared" si="204"/>
        <v>0</v>
      </c>
      <c r="AL171" s="75">
        <f t="shared" si="204"/>
        <v>12040</v>
      </c>
      <c r="AM171" s="75">
        <f t="shared" si="204"/>
        <v>0</v>
      </c>
      <c r="AN171" s="75">
        <f t="shared" si="204"/>
        <v>0</v>
      </c>
      <c r="AO171" s="75">
        <f t="shared" si="204"/>
        <v>0</v>
      </c>
      <c r="AP171" s="75">
        <f t="shared" si="204"/>
        <v>0</v>
      </c>
      <c r="AQ171" s="75">
        <f t="shared" si="204"/>
        <v>0</v>
      </c>
      <c r="AR171" s="75">
        <f t="shared" si="204"/>
        <v>12040</v>
      </c>
      <c r="AS171" s="75">
        <f t="shared" si="204"/>
        <v>0</v>
      </c>
      <c r="AT171" s="76">
        <f t="shared" si="204"/>
        <v>0</v>
      </c>
      <c r="AU171" s="76">
        <f t="shared" si="204"/>
        <v>0</v>
      </c>
      <c r="AV171" s="76">
        <f t="shared" si="204"/>
        <v>0</v>
      </c>
      <c r="AW171" s="76">
        <f t="shared" si="204"/>
        <v>12040</v>
      </c>
      <c r="AX171" s="76">
        <f t="shared" si="204"/>
        <v>0</v>
      </c>
      <c r="AY171" s="75">
        <f t="shared" si="204"/>
        <v>0</v>
      </c>
      <c r="AZ171" s="75">
        <f t="shared" si="204"/>
        <v>0</v>
      </c>
      <c r="BA171" s="75">
        <f t="shared" si="204"/>
        <v>0</v>
      </c>
      <c r="BB171" s="75">
        <f t="shared" si="204"/>
        <v>0</v>
      </c>
      <c r="BC171" s="75">
        <f t="shared" si="204"/>
        <v>0</v>
      </c>
      <c r="BD171" s="75">
        <f t="shared" si="204"/>
        <v>12040</v>
      </c>
      <c r="BE171" s="75">
        <f t="shared" si="204"/>
        <v>0</v>
      </c>
      <c r="BF171" s="75">
        <f t="shared" si="204"/>
        <v>0</v>
      </c>
      <c r="BG171" s="75">
        <f t="shared" si="204"/>
        <v>0</v>
      </c>
      <c r="BH171" s="75">
        <f t="shared" si="204"/>
        <v>0</v>
      </c>
      <c r="BI171" s="75">
        <f t="shared" si="204"/>
        <v>12040</v>
      </c>
      <c r="BJ171" s="75">
        <f t="shared" si="204"/>
        <v>0</v>
      </c>
      <c r="BK171" s="75">
        <f t="shared" si="204"/>
        <v>0</v>
      </c>
      <c r="BL171" s="75">
        <f t="shared" si="204"/>
        <v>0</v>
      </c>
      <c r="BM171" s="75">
        <f t="shared" si="204"/>
        <v>0</v>
      </c>
      <c r="BN171" s="75">
        <f t="shared" si="204"/>
        <v>0</v>
      </c>
      <c r="BO171" s="75">
        <f t="shared" si="204"/>
        <v>12040</v>
      </c>
      <c r="BP171" s="75">
        <f t="shared" si="204"/>
        <v>0</v>
      </c>
      <c r="BQ171" s="75">
        <f t="shared" si="204"/>
        <v>0</v>
      </c>
      <c r="BR171" s="75"/>
      <c r="BS171" s="75">
        <f t="shared" si="204"/>
        <v>0</v>
      </c>
      <c r="BT171" s="75">
        <f t="shared" si="204"/>
        <v>0</v>
      </c>
      <c r="BU171" s="75">
        <f t="shared" si="204"/>
        <v>12040</v>
      </c>
      <c r="BV171" s="75">
        <f>BV172</f>
        <v>0</v>
      </c>
      <c r="BW171" s="75">
        <f t="shared" si="204"/>
        <v>12040</v>
      </c>
      <c r="BX171" s="75">
        <f>BX172</f>
        <v>0</v>
      </c>
      <c r="BY171" s="77">
        <f t="shared" si="177"/>
        <v>100</v>
      </c>
      <c r="BZ171" s="72"/>
    </row>
    <row r="172" spans="1:78" s="14" customFormat="1" ht="99.75" customHeight="1" hidden="1">
      <c r="A172" s="88" t="s">
        <v>359</v>
      </c>
      <c r="B172" s="89" t="s">
        <v>160</v>
      </c>
      <c r="C172" s="89" t="s">
        <v>127</v>
      </c>
      <c r="D172" s="90" t="s">
        <v>190</v>
      </c>
      <c r="E172" s="89" t="s">
        <v>145</v>
      </c>
      <c r="F172" s="75">
        <v>99920</v>
      </c>
      <c r="G172" s="75">
        <f>H172-F172</f>
        <v>-87880</v>
      </c>
      <c r="H172" s="75">
        <v>12040</v>
      </c>
      <c r="I172" s="75"/>
      <c r="J172" s="75"/>
      <c r="K172" s="75"/>
      <c r="L172" s="75"/>
      <c r="M172" s="75">
        <f>H172+J172+K172+L172</f>
        <v>12040</v>
      </c>
      <c r="N172" s="78">
        <f>I172+L172</f>
        <v>0</v>
      </c>
      <c r="O172" s="75"/>
      <c r="P172" s="75"/>
      <c r="Q172" s="79"/>
      <c r="R172" s="79"/>
      <c r="S172" s="75">
        <f>M172+O172+P172+Q172+R172</f>
        <v>12040</v>
      </c>
      <c r="T172" s="75">
        <f>N172+R172</f>
        <v>0</v>
      </c>
      <c r="U172" s="79"/>
      <c r="V172" s="79"/>
      <c r="W172" s="79"/>
      <c r="X172" s="79"/>
      <c r="Y172" s="79"/>
      <c r="Z172" s="79"/>
      <c r="AA172" s="79"/>
      <c r="AB172" s="75">
        <f>S172+U172+V172+W172+X172+Y172+Z172+AA172</f>
        <v>12040</v>
      </c>
      <c r="AC172" s="75">
        <f>T172+Z172+AA172</f>
        <v>0</v>
      </c>
      <c r="AD172" s="79"/>
      <c r="AE172" s="79"/>
      <c r="AF172" s="75"/>
      <c r="AG172" s="79"/>
      <c r="AH172" s="79"/>
      <c r="AI172" s="75">
        <f>AB172+AD172+AE172+AF172+AG172+AH172</f>
        <v>12040</v>
      </c>
      <c r="AJ172" s="75">
        <f>AC172+AH172</f>
        <v>0</v>
      </c>
      <c r="AK172" s="79"/>
      <c r="AL172" s="75">
        <f>AI172+AK172</f>
        <v>12040</v>
      </c>
      <c r="AM172" s="75">
        <f>AJ172</f>
        <v>0</v>
      </c>
      <c r="AN172" s="79"/>
      <c r="AO172" s="79"/>
      <c r="AP172" s="79"/>
      <c r="AQ172" s="79"/>
      <c r="AR172" s="75">
        <f>AL172+AN172+AO172+AP172+AQ172</f>
        <v>12040</v>
      </c>
      <c r="AS172" s="75">
        <f>AM172+AQ172</f>
        <v>0</v>
      </c>
      <c r="AT172" s="81"/>
      <c r="AU172" s="81"/>
      <c r="AV172" s="81"/>
      <c r="AW172" s="76">
        <f>AV172+AU172+AT172+AR172</f>
        <v>12040</v>
      </c>
      <c r="AX172" s="76">
        <f>AV172+AS172</f>
        <v>0</v>
      </c>
      <c r="AY172" s="75"/>
      <c r="AZ172" s="75"/>
      <c r="BA172" s="75"/>
      <c r="BB172" s="75"/>
      <c r="BC172" s="75"/>
      <c r="BD172" s="75">
        <f>AW172+AY172+AZ172+BA172+BB172+BC172</f>
        <v>12040</v>
      </c>
      <c r="BE172" s="75">
        <f>AX172+BC172</f>
        <v>0</v>
      </c>
      <c r="BF172" s="79"/>
      <c r="BG172" s="79"/>
      <c r="BH172" s="79"/>
      <c r="BI172" s="75">
        <f>BD172+BF172+BG172+BH172</f>
        <v>12040</v>
      </c>
      <c r="BJ172" s="75">
        <f>BE172+BH172</f>
        <v>0</v>
      </c>
      <c r="BK172" s="78"/>
      <c r="BL172" s="78"/>
      <c r="BM172" s="78"/>
      <c r="BN172" s="78"/>
      <c r="BO172" s="75">
        <f>BI172+BK172+BL172+BM172+BN172</f>
        <v>12040</v>
      </c>
      <c r="BP172" s="75">
        <f>BJ172+BN172</f>
        <v>0</v>
      </c>
      <c r="BQ172" s="79"/>
      <c r="BR172" s="79"/>
      <c r="BS172" s="79"/>
      <c r="BT172" s="79"/>
      <c r="BU172" s="75">
        <f>BO172+BQ172+BS172+BT172</f>
        <v>12040</v>
      </c>
      <c r="BV172" s="75">
        <f>BP172+BT172</f>
        <v>0</v>
      </c>
      <c r="BW172" s="75">
        <v>12040</v>
      </c>
      <c r="BX172" s="75">
        <f>BR172+BV172</f>
        <v>0</v>
      </c>
      <c r="BY172" s="77">
        <f t="shared" si="177"/>
        <v>100</v>
      </c>
      <c r="BZ172" s="72"/>
    </row>
    <row r="173" spans="1:78" s="14" customFormat="1" ht="72" customHeight="1" hidden="1">
      <c r="A173" s="88" t="s">
        <v>217</v>
      </c>
      <c r="B173" s="89" t="s">
        <v>160</v>
      </c>
      <c r="C173" s="89" t="s">
        <v>127</v>
      </c>
      <c r="D173" s="90" t="s">
        <v>191</v>
      </c>
      <c r="E173" s="89"/>
      <c r="F173" s="75">
        <f>F174</f>
        <v>20168</v>
      </c>
      <c r="G173" s="75">
        <f>G174</f>
        <v>3287</v>
      </c>
      <c r="H173" s="75">
        <f>H174</f>
        <v>23455</v>
      </c>
      <c r="I173" s="75">
        <f aca="true" t="shared" si="205" ref="I173:AX173">I174</f>
        <v>0</v>
      </c>
      <c r="J173" s="75">
        <f t="shared" si="205"/>
        <v>0</v>
      </c>
      <c r="K173" s="75">
        <f t="shared" si="205"/>
        <v>0</v>
      </c>
      <c r="L173" s="75">
        <f t="shared" si="205"/>
        <v>0</v>
      </c>
      <c r="M173" s="75">
        <f t="shared" si="205"/>
        <v>23455</v>
      </c>
      <c r="N173" s="75">
        <f t="shared" si="205"/>
        <v>0</v>
      </c>
      <c r="O173" s="75">
        <f t="shared" si="205"/>
        <v>0</v>
      </c>
      <c r="P173" s="75"/>
      <c r="Q173" s="75">
        <f t="shared" si="205"/>
        <v>0</v>
      </c>
      <c r="R173" s="75">
        <f t="shared" si="205"/>
        <v>0</v>
      </c>
      <c r="S173" s="75">
        <f t="shared" si="205"/>
        <v>23455</v>
      </c>
      <c r="T173" s="75">
        <f t="shared" si="205"/>
        <v>0</v>
      </c>
      <c r="U173" s="75">
        <f t="shared" si="205"/>
        <v>0</v>
      </c>
      <c r="V173" s="75">
        <f t="shared" si="205"/>
        <v>0</v>
      </c>
      <c r="W173" s="75">
        <f t="shared" si="205"/>
        <v>0</v>
      </c>
      <c r="X173" s="75">
        <f t="shared" si="205"/>
        <v>0</v>
      </c>
      <c r="Y173" s="75">
        <f t="shared" si="205"/>
        <v>0</v>
      </c>
      <c r="Z173" s="75">
        <f t="shared" si="205"/>
        <v>0</v>
      </c>
      <c r="AA173" s="75">
        <f t="shared" si="205"/>
        <v>0</v>
      </c>
      <c r="AB173" s="75">
        <f t="shared" si="205"/>
        <v>23455</v>
      </c>
      <c r="AC173" s="75">
        <f t="shared" si="205"/>
        <v>0</v>
      </c>
      <c r="AD173" s="75">
        <f t="shared" si="205"/>
        <v>0</v>
      </c>
      <c r="AE173" s="75">
        <f t="shared" si="205"/>
        <v>0</v>
      </c>
      <c r="AF173" s="75">
        <f t="shared" si="205"/>
        <v>-5000</v>
      </c>
      <c r="AG173" s="75">
        <f t="shared" si="205"/>
        <v>0</v>
      </c>
      <c r="AH173" s="75">
        <f t="shared" si="205"/>
        <v>0</v>
      </c>
      <c r="AI173" s="75">
        <f t="shared" si="205"/>
        <v>18455</v>
      </c>
      <c r="AJ173" s="75">
        <f t="shared" si="205"/>
        <v>0</v>
      </c>
      <c r="AK173" s="75">
        <f t="shared" si="205"/>
        <v>0</v>
      </c>
      <c r="AL173" s="75">
        <f t="shared" si="205"/>
        <v>18455</v>
      </c>
      <c r="AM173" s="75">
        <f t="shared" si="205"/>
        <v>0</v>
      </c>
      <c r="AN173" s="75">
        <f t="shared" si="205"/>
        <v>0</v>
      </c>
      <c r="AO173" s="75">
        <f t="shared" si="205"/>
        <v>0</v>
      </c>
      <c r="AP173" s="75">
        <f t="shared" si="205"/>
        <v>0</v>
      </c>
      <c r="AQ173" s="75">
        <f t="shared" si="205"/>
        <v>0</v>
      </c>
      <c r="AR173" s="75">
        <f t="shared" si="205"/>
        <v>18455</v>
      </c>
      <c r="AS173" s="75">
        <f t="shared" si="205"/>
        <v>0</v>
      </c>
      <c r="AT173" s="76">
        <f t="shared" si="205"/>
        <v>-18455</v>
      </c>
      <c r="AU173" s="76">
        <f t="shared" si="205"/>
        <v>0</v>
      </c>
      <c r="AV173" s="76">
        <f t="shared" si="205"/>
        <v>0</v>
      </c>
      <c r="AW173" s="76">
        <f t="shared" si="205"/>
        <v>0</v>
      </c>
      <c r="AX173" s="76">
        <f t="shared" si="205"/>
        <v>0</v>
      </c>
      <c r="AY173" s="75"/>
      <c r="AZ173" s="75"/>
      <c r="BA173" s="75"/>
      <c r="BB173" s="75"/>
      <c r="BC173" s="75"/>
      <c r="BD173" s="78"/>
      <c r="BE173" s="78"/>
      <c r="BF173" s="79"/>
      <c r="BG173" s="79"/>
      <c r="BH173" s="79"/>
      <c r="BI173" s="79"/>
      <c r="BJ173" s="79"/>
      <c r="BK173" s="78"/>
      <c r="BL173" s="78"/>
      <c r="BM173" s="78"/>
      <c r="BN173" s="78"/>
      <c r="BO173" s="78"/>
      <c r="BP173" s="78"/>
      <c r="BQ173" s="79"/>
      <c r="BR173" s="79"/>
      <c r="BS173" s="79"/>
      <c r="BT173" s="79"/>
      <c r="BU173" s="79"/>
      <c r="BV173" s="79"/>
      <c r="BW173" s="79"/>
      <c r="BX173" s="79"/>
      <c r="BY173" s="77" t="e">
        <f t="shared" si="177"/>
        <v>#DIV/0!</v>
      </c>
      <c r="BZ173" s="72"/>
    </row>
    <row r="174" spans="1:78" s="14" customFormat="1" ht="96.75" customHeight="1" hidden="1">
      <c r="A174" s="88" t="s">
        <v>144</v>
      </c>
      <c r="B174" s="89" t="s">
        <v>160</v>
      </c>
      <c r="C174" s="89" t="s">
        <v>127</v>
      </c>
      <c r="D174" s="90" t="s">
        <v>191</v>
      </c>
      <c r="E174" s="89" t="s">
        <v>145</v>
      </c>
      <c r="F174" s="75">
        <v>20168</v>
      </c>
      <c r="G174" s="75">
        <f>H174-F174</f>
        <v>3287</v>
      </c>
      <c r="H174" s="75">
        <v>23455</v>
      </c>
      <c r="I174" s="75"/>
      <c r="J174" s="75"/>
      <c r="K174" s="75"/>
      <c r="L174" s="75"/>
      <c r="M174" s="75">
        <f>H174+J174+K174+L174</f>
        <v>23455</v>
      </c>
      <c r="N174" s="78">
        <f>I174+L174</f>
        <v>0</v>
      </c>
      <c r="O174" s="75"/>
      <c r="P174" s="75"/>
      <c r="Q174" s="79"/>
      <c r="R174" s="79"/>
      <c r="S174" s="75">
        <f>M174+O174+P174+Q174+R174</f>
        <v>23455</v>
      </c>
      <c r="T174" s="75">
        <f>N174+R174</f>
        <v>0</v>
      </c>
      <c r="U174" s="79"/>
      <c r="V174" s="79"/>
      <c r="W174" s="79"/>
      <c r="X174" s="79"/>
      <c r="Y174" s="79"/>
      <c r="Z174" s="79"/>
      <c r="AA174" s="79"/>
      <c r="AB174" s="75">
        <f>S174+U174+V174+W174+X174+Y174+Z174+AA174</f>
        <v>23455</v>
      </c>
      <c r="AC174" s="75">
        <f>T174+Z174+AA174</f>
        <v>0</v>
      </c>
      <c r="AD174" s="79"/>
      <c r="AE174" s="79"/>
      <c r="AF174" s="75">
        <v>-5000</v>
      </c>
      <c r="AG174" s="79"/>
      <c r="AH174" s="79"/>
      <c r="AI174" s="75">
        <f>AB174+AD174+AE174+AF174+AG174+AH174</f>
        <v>18455</v>
      </c>
      <c r="AJ174" s="75">
        <f>AC174+AH174</f>
        <v>0</v>
      </c>
      <c r="AK174" s="79"/>
      <c r="AL174" s="75">
        <f>AI174+AK174</f>
        <v>18455</v>
      </c>
      <c r="AM174" s="75">
        <f>AJ174</f>
        <v>0</v>
      </c>
      <c r="AN174" s="79"/>
      <c r="AO174" s="79"/>
      <c r="AP174" s="79"/>
      <c r="AQ174" s="79"/>
      <c r="AR174" s="75">
        <f>AL174+AN174+AO174+AP174+AQ174</f>
        <v>18455</v>
      </c>
      <c r="AS174" s="75">
        <f>AM174+AQ174</f>
        <v>0</v>
      </c>
      <c r="AT174" s="76">
        <v>-18455</v>
      </c>
      <c r="AU174" s="76"/>
      <c r="AV174" s="76"/>
      <c r="AW174" s="76">
        <f>AV174+AU174+AT174+AR174</f>
        <v>0</v>
      </c>
      <c r="AX174" s="76">
        <f>AV174+AS174</f>
        <v>0</v>
      </c>
      <c r="AY174" s="75"/>
      <c r="AZ174" s="75"/>
      <c r="BA174" s="75"/>
      <c r="BB174" s="75"/>
      <c r="BC174" s="75"/>
      <c r="BD174" s="78"/>
      <c r="BE174" s="78"/>
      <c r="BF174" s="79"/>
      <c r="BG174" s="79"/>
      <c r="BH174" s="79"/>
      <c r="BI174" s="79"/>
      <c r="BJ174" s="79"/>
      <c r="BK174" s="78"/>
      <c r="BL174" s="78"/>
      <c r="BM174" s="78"/>
      <c r="BN174" s="78"/>
      <c r="BO174" s="78"/>
      <c r="BP174" s="78"/>
      <c r="BQ174" s="79"/>
      <c r="BR174" s="79"/>
      <c r="BS174" s="79"/>
      <c r="BT174" s="79"/>
      <c r="BU174" s="79"/>
      <c r="BV174" s="79"/>
      <c r="BW174" s="79"/>
      <c r="BX174" s="79"/>
      <c r="BY174" s="77" t="e">
        <f t="shared" si="177"/>
        <v>#DIV/0!</v>
      </c>
      <c r="BZ174" s="72"/>
    </row>
    <row r="175" spans="1:78" s="14" customFormat="1" ht="74.25" customHeight="1" hidden="1">
      <c r="A175" s="88" t="s">
        <v>303</v>
      </c>
      <c r="B175" s="89" t="s">
        <v>160</v>
      </c>
      <c r="C175" s="89" t="s">
        <v>127</v>
      </c>
      <c r="D175" s="90" t="s">
        <v>304</v>
      </c>
      <c r="E175" s="89"/>
      <c r="F175" s="75"/>
      <c r="G175" s="75"/>
      <c r="H175" s="75"/>
      <c r="I175" s="75"/>
      <c r="J175" s="75"/>
      <c r="K175" s="75"/>
      <c r="L175" s="75"/>
      <c r="M175" s="75"/>
      <c r="N175" s="78"/>
      <c r="O175" s="75"/>
      <c r="P175" s="75"/>
      <c r="Q175" s="79"/>
      <c r="R175" s="79"/>
      <c r="S175" s="75"/>
      <c r="T175" s="75"/>
      <c r="U175" s="79">
        <f aca="true" t="shared" si="206" ref="U175:AB175">U176</f>
        <v>0</v>
      </c>
      <c r="V175" s="79">
        <f t="shared" si="206"/>
        <v>0</v>
      </c>
      <c r="W175" s="79">
        <f t="shared" si="206"/>
        <v>0</v>
      </c>
      <c r="X175" s="79">
        <f t="shared" si="206"/>
        <v>0</v>
      </c>
      <c r="Y175" s="75">
        <f t="shared" si="206"/>
        <v>54232</v>
      </c>
      <c r="Z175" s="79">
        <f t="shared" si="206"/>
        <v>0</v>
      </c>
      <c r="AA175" s="79">
        <f t="shared" si="206"/>
        <v>0</v>
      </c>
      <c r="AB175" s="75">
        <f t="shared" si="206"/>
        <v>54232</v>
      </c>
      <c r="AC175" s="75">
        <f aca="true" t="shared" si="207" ref="AC175:AX175">AC176</f>
        <v>0</v>
      </c>
      <c r="AD175" s="79">
        <f t="shared" si="207"/>
        <v>0</v>
      </c>
      <c r="AE175" s="79">
        <f t="shared" si="207"/>
        <v>0</v>
      </c>
      <c r="AF175" s="75">
        <f t="shared" si="207"/>
        <v>-39362</v>
      </c>
      <c r="AG175" s="79">
        <f t="shared" si="207"/>
        <v>0</v>
      </c>
      <c r="AH175" s="79">
        <f t="shared" si="207"/>
        <v>0</v>
      </c>
      <c r="AI175" s="75">
        <f t="shared" si="207"/>
        <v>14870</v>
      </c>
      <c r="AJ175" s="75">
        <f t="shared" si="207"/>
        <v>0</v>
      </c>
      <c r="AK175" s="75">
        <f t="shared" si="207"/>
        <v>0</v>
      </c>
      <c r="AL175" s="75">
        <f t="shared" si="207"/>
        <v>14870</v>
      </c>
      <c r="AM175" s="75">
        <f t="shared" si="207"/>
        <v>0</v>
      </c>
      <c r="AN175" s="75">
        <f t="shared" si="207"/>
        <v>0</v>
      </c>
      <c r="AO175" s="75">
        <f t="shared" si="207"/>
        <v>0</v>
      </c>
      <c r="AP175" s="75">
        <f t="shared" si="207"/>
        <v>0</v>
      </c>
      <c r="AQ175" s="75">
        <f t="shared" si="207"/>
        <v>0</v>
      </c>
      <c r="AR175" s="75">
        <f t="shared" si="207"/>
        <v>14870</v>
      </c>
      <c r="AS175" s="75">
        <f t="shared" si="207"/>
        <v>0</v>
      </c>
      <c r="AT175" s="76">
        <f t="shared" si="207"/>
        <v>-14870</v>
      </c>
      <c r="AU175" s="76">
        <f t="shared" si="207"/>
        <v>0</v>
      </c>
      <c r="AV175" s="76">
        <f t="shared" si="207"/>
        <v>0</v>
      </c>
      <c r="AW175" s="76">
        <f t="shared" si="207"/>
        <v>0</v>
      </c>
      <c r="AX175" s="76">
        <f t="shared" si="207"/>
        <v>0</v>
      </c>
      <c r="AY175" s="75"/>
      <c r="AZ175" s="75"/>
      <c r="BA175" s="75"/>
      <c r="BB175" s="75"/>
      <c r="BC175" s="75"/>
      <c r="BD175" s="78"/>
      <c r="BE175" s="78"/>
      <c r="BF175" s="79"/>
      <c r="BG175" s="79"/>
      <c r="BH175" s="79"/>
      <c r="BI175" s="79"/>
      <c r="BJ175" s="79"/>
      <c r="BK175" s="78"/>
      <c r="BL175" s="78"/>
      <c r="BM175" s="78"/>
      <c r="BN175" s="78"/>
      <c r="BO175" s="78"/>
      <c r="BP175" s="78"/>
      <c r="BQ175" s="79"/>
      <c r="BR175" s="79"/>
      <c r="BS175" s="79"/>
      <c r="BT175" s="79"/>
      <c r="BU175" s="79"/>
      <c r="BV175" s="79"/>
      <c r="BW175" s="79"/>
      <c r="BX175" s="79"/>
      <c r="BY175" s="77" t="e">
        <f t="shared" si="177"/>
        <v>#DIV/0!</v>
      </c>
      <c r="BZ175" s="72"/>
    </row>
    <row r="176" spans="1:78" s="14" customFormat="1" ht="103.5" customHeight="1" hidden="1">
      <c r="A176" s="88" t="s">
        <v>144</v>
      </c>
      <c r="B176" s="89" t="s">
        <v>160</v>
      </c>
      <c r="C176" s="89" t="s">
        <v>127</v>
      </c>
      <c r="D176" s="90" t="s">
        <v>304</v>
      </c>
      <c r="E176" s="89" t="s">
        <v>145</v>
      </c>
      <c r="F176" s="75"/>
      <c r="G176" s="75"/>
      <c r="H176" s="75"/>
      <c r="I176" s="75"/>
      <c r="J176" s="75"/>
      <c r="K176" s="75"/>
      <c r="L176" s="75"/>
      <c r="M176" s="75"/>
      <c r="N176" s="78"/>
      <c r="O176" s="75"/>
      <c r="P176" s="75"/>
      <c r="Q176" s="79"/>
      <c r="R176" s="79"/>
      <c r="S176" s="75"/>
      <c r="T176" s="75"/>
      <c r="U176" s="79"/>
      <c r="V176" s="79"/>
      <c r="W176" s="79"/>
      <c r="X176" s="79"/>
      <c r="Y176" s="75">
        <v>54232</v>
      </c>
      <c r="Z176" s="79"/>
      <c r="AA176" s="79"/>
      <c r="AB176" s="75">
        <f>S176+U176+V176+W176+X176+Y176+Z176+AA176</f>
        <v>54232</v>
      </c>
      <c r="AC176" s="75">
        <f>T176+Z176+AA176</f>
        <v>0</v>
      </c>
      <c r="AD176" s="79"/>
      <c r="AE176" s="79"/>
      <c r="AF176" s="75">
        <f>-29269-10093</f>
        <v>-39362</v>
      </c>
      <c r="AG176" s="79"/>
      <c r="AH176" s="79"/>
      <c r="AI176" s="75">
        <f>AB176+AD176+AE176+AF176+AG176+AH176</f>
        <v>14870</v>
      </c>
      <c r="AJ176" s="75">
        <f>AC176+AH176</f>
        <v>0</v>
      </c>
      <c r="AK176" s="79"/>
      <c r="AL176" s="75">
        <f>AI176+AK176</f>
        <v>14870</v>
      </c>
      <c r="AM176" s="75">
        <f>AJ176</f>
        <v>0</v>
      </c>
      <c r="AN176" s="79"/>
      <c r="AO176" s="79"/>
      <c r="AP176" s="79"/>
      <c r="AQ176" s="79"/>
      <c r="AR176" s="75">
        <f>AL176+AN176+AO176+AP176+AQ176</f>
        <v>14870</v>
      </c>
      <c r="AS176" s="75">
        <f>AM176+AQ176</f>
        <v>0</v>
      </c>
      <c r="AT176" s="76">
        <v>-14870</v>
      </c>
      <c r="AU176" s="76"/>
      <c r="AV176" s="76"/>
      <c r="AW176" s="76">
        <f>AV176+AU176+AT176+AR176</f>
        <v>0</v>
      </c>
      <c r="AX176" s="76">
        <f>AV176+AS176</f>
        <v>0</v>
      </c>
      <c r="AY176" s="75"/>
      <c r="AZ176" s="75"/>
      <c r="BA176" s="75"/>
      <c r="BB176" s="75"/>
      <c r="BC176" s="75"/>
      <c r="BD176" s="78"/>
      <c r="BE176" s="78"/>
      <c r="BF176" s="79"/>
      <c r="BG176" s="79"/>
      <c r="BH176" s="79"/>
      <c r="BI176" s="79"/>
      <c r="BJ176" s="79"/>
      <c r="BK176" s="78"/>
      <c r="BL176" s="78"/>
      <c r="BM176" s="78"/>
      <c r="BN176" s="78"/>
      <c r="BO176" s="78"/>
      <c r="BP176" s="78"/>
      <c r="BQ176" s="79"/>
      <c r="BR176" s="79"/>
      <c r="BS176" s="79"/>
      <c r="BT176" s="79"/>
      <c r="BU176" s="79"/>
      <c r="BV176" s="79"/>
      <c r="BW176" s="79"/>
      <c r="BX176" s="79"/>
      <c r="BY176" s="77" t="e">
        <f t="shared" si="177"/>
        <v>#DIV/0!</v>
      </c>
      <c r="BZ176" s="72"/>
    </row>
    <row r="177" spans="1:78" s="11" customFormat="1" ht="36.75" customHeight="1" hidden="1">
      <c r="A177" s="88" t="s">
        <v>121</v>
      </c>
      <c r="B177" s="89" t="s">
        <v>160</v>
      </c>
      <c r="C177" s="89" t="s">
        <v>127</v>
      </c>
      <c r="D177" s="90" t="s">
        <v>122</v>
      </c>
      <c r="E177" s="89"/>
      <c r="F177" s="91">
        <f>F178+F179</f>
        <v>8063</v>
      </c>
      <c r="G177" s="91">
        <f>G178+G179</f>
        <v>42691</v>
      </c>
      <c r="H177" s="91">
        <f>H178+H179</f>
        <v>50754</v>
      </c>
      <c r="I177" s="91">
        <f aca="true" t="shared" si="208" ref="I177:AM177">I178+I179</f>
        <v>0</v>
      </c>
      <c r="J177" s="91">
        <f t="shared" si="208"/>
        <v>0</v>
      </c>
      <c r="K177" s="91">
        <f t="shared" si="208"/>
        <v>0</v>
      </c>
      <c r="L177" s="91">
        <f t="shared" si="208"/>
        <v>0</v>
      </c>
      <c r="M177" s="91">
        <f t="shared" si="208"/>
        <v>50754</v>
      </c>
      <c r="N177" s="91">
        <f t="shared" si="208"/>
        <v>0</v>
      </c>
      <c r="O177" s="91">
        <f t="shared" si="208"/>
        <v>0</v>
      </c>
      <c r="P177" s="91"/>
      <c r="Q177" s="91">
        <f t="shared" si="208"/>
        <v>0</v>
      </c>
      <c r="R177" s="91">
        <f t="shared" si="208"/>
        <v>0</v>
      </c>
      <c r="S177" s="91">
        <f t="shared" si="208"/>
        <v>50754</v>
      </c>
      <c r="T177" s="91">
        <f t="shared" si="208"/>
        <v>0</v>
      </c>
      <c r="U177" s="91">
        <f t="shared" si="208"/>
        <v>0</v>
      </c>
      <c r="V177" s="91">
        <f t="shared" si="208"/>
        <v>0</v>
      </c>
      <c r="W177" s="91">
        <f t="shared" si="208"/>
        <v>0</v>
      </c>
      <c r="X177" s="91">
        <f t="shared" si="208"/>
        <v>0</v>
      </c>
      <c r="Y177" s="91">
        <f t="shared" si="208"/>
        <v>0</v>
      </c>
      <c r="Z177" s="91">
        <f t="shared" si="208"/>
        <v>0</v>
      </c>
      <c r="AA177" s="91">
        <f t="shared" si="208"/>
        <v>0</v>
      </c>
      <c r="AB177" s="91">
        <f t="shared" si="208"/>
        <v>50754</v>
      </c>
      <c r="AC177" s="91">
        <f t="shared" si="208"/>
        <v>0</v>
      </c>
      <c r="AD177" s="91">
        <f t="shared" si="208"/>
        <v>0</v>
      </c>
      <c r="AE177" s="91">
        <f t="shared" si="208"/>
        <v>0</v>
      </c>
      <c r="AF177" s="91">
        <f t="shared" si="208"/>
        <v>-20000</v>
      </c>
      <c r="AG177" s="91">
        <f t="shared" si="208"/>
        <v>0</v>
      </c>
      <c r="AH177" s="91">
        <f t="shared" si="208"/>
        <v>0</v>
      </c>
      <c r="AI177" s="91">
        <f t="shared" si="208"/>
        <v>30754</v>
      </c>
      <c r="AJ177" s="91">
        <f t="shared" si="208"/>
        <v>0</v>
      </c>
      <c r="AK177" s="91">
        <f t="shared" si="208"/>
        <v>0</v>
      </c>
      <c r="AL177" s="91">
        <f t="shared" si="208"/>
        <v>30754</v>
      </c>
      <c r="AM177" s="91">
        <f t="shared" si="208"/>
        <v>0</v>
      </c>
      <c r="AN177" s="91">
        <f aca="true" t="shared" si="209" ref="AN177:AS177">AN178+AN179+AN180+AN182</f>
        <v>0</v>
      </c>
      <c r="AO177" s="91">
        <f t="shared" si="209"/>
        <v>0</v>
      </c>
      <c r="AP177" s="91">
        <f t="shared" si="209"/>
        <v>0</v>
      </c>
      <c r="AQ177" s="91">
        <f t="shared" si="209"/>
        <v>0</v>
      </c>
      <c r="AR177" s="91">
        <f t="shared" si="209"/>
        <v>30754</v>
      </c>
      <c r="AS177" s="91">
        <f t="shared" si="209"/>
        <v>0</v>
      </c>
      <c r="AT177" s="92">
        <f>AT178+AT179+AT180+AT182</f>
        <v>0</v>
      </c>
      <c r="AU177" s="92">
        <f>AU178+AU179+AU180+AU182</f>
        <v>0</v>
      </c>
      <c r="AV177" s="92">
        <f>AV178+AV179+AV180+AV182</f>
        <v>0</v>
      </c>
      <c r="AW177" s="92">
        <f>AW178+AW179+AW180+AW182</f>
        <v>30754</v>
      </c>
      <c r="AX177" s="92">
        <f aca="true" t="shared" si="210" ref="AX177:BI177">AX178+AX179+AX180+AX182</f>
        <v>0</v>
      </c>
      <c r="AY177" s="91">
        <f t="shared" si="210"/>
        <v>-26254</v>
      </c>
      <c r="AZ177" s="91">
        <f t="shared" si="210"/>
        <v>0</v>
      </c>
      <c r="BA177" s="91">
        <f t="shared" si="210"/>
        <v>0</v>
      </c>
      <c r="BB177" s="91">
        <f t="shared" si="210"/>
        <v>0</v>
      </c>
      <c r="BC177" s="91">
        <f t="shared" si="210"/>
        <v>0</v>
      </c>
      <c r="BD177" s="91">
        <f t="shared" si="210"/>
        <v>4500</v>
      </c>
      <c r="BE177" s="91">
        <f t="shared" si="210"/>
        <v>0</v>
      </c>
      <c r="BF177" s="91">
        <f t="shared" si="210"/>
        <v>0</v>
      </c>
      <c r="BG177" s="91">
        <f t="shared" si="210"/>
        <v>0</v>
      </c>
      <c r="BH177" s="91">
        <f t="shared" si="210"/>
        <v>0</v>
      </c>
      <c r="BI177" s="91">
        <f t="shared" si="210"/>
        <v>4500</v>
      </c>
      <c r="BJ177" s="91">
        <f aca="true" t="shared" si="211" ref="BJ177:BP177">BJ178+BJ179+BJ180+BJ182</f>
        <v>0</v>
      </c>
      <c r="BK177" s="91">
        <f t="shared" si="211"/>
        <v>0</v>
      </c>
      <c r="BL177" s="91">
        <f t="shared" si="211"/>
        <v>0</v>
      </c>
      <c r="BM177" s="91">
        <f t="shared" si="211"/>
        <v>0</v>
      </c>
      <c r="BN177" s="91">
        <f t="shared" si="211"/>
        <v>0</v>
      </c>
      <c r="BO177" s="91">
        <f t="shared" si="211"/>
        <v>4500</v>
      </c>
      <c r="BP177" s="91">
        <f t="shared" si="211"/>
        <v>0</v>
      </c>
      <c r="BQ177" s="91">
        <f>BQ178+BQ179+BQ180+BQ182</f>
        <v>0</v>
      </c>
      <c r="BR177" s="91"/>
      <c r="BS177" s="91">
        <f aca="true" t="shared" si="212" ref="BS177:BX177">BS178+BS179+BS180+BS182</f>
        <v>0</v>
      </c>
      <c r="BT177" s="91">
        <f t="shared" si="212"/>
        <v>0</v>
      </c>
      <c r="BU177" s="91">
        <f t="shared" si="212"/>
        <v>4500</v>
      </c>
      <c r="BV177" s="91">
        <f t="shared" si="212"/>
        <v>0</v>
      </c>
      <c r="BW177" s="91">
        <f t="shared" si="212"/>
        <v>4500</v>
      </c>
      <c r="BX177" s="91">
        <f t="shared" si="212"/>
        <v>0</v>
      </c>
      <c r="BY177" s="77">
        <f t="shared" si="177"/>
        <v>100</v>
      </c>
      <c r="BZ177" s="72"/>
    </row>
    <row r="178" spans="1:78" s="11" customFormat="1" ht="71.25" customHeight="1" hidden="1">
      <c r="A178" s="88" t="s">
        <v>138</v>
      </c>
      <c r="B178" s="89" t="s">
        <v>160</v>
      </c>
      <c r="C178" s="89" t="s">
        <v>127</v>
      </c>
      <c r="D178" s="90" t="s">
        <v>122</v>
      </c>
      <c r="E178" s="89" t="s">
        <v>139</v>
      </c>
      <c r="F178" s="91"/>
      <c r="G178" s="75">
        <f>H178-F178</f>
        <v>50754</v>
      </c>
      <c r="H178" s="91">
        <v>50754</v>
      </c>
      <c r="I178" s="91"/>
      <c r="J178" s="61"/>
      <c r="K178" s="61"/>
      <c r="L178" s="61"/>
      <c r="M178" s="75">
        <f>H178+J178+K178+L178</f>
        <v>50754</v>
      </c>
      <c r="N178" s="78">
        <f>I178+L178</f>
        <v>0</v>
      </c>
      <c r="O178" s="61"/>
      <c r="P178" s="61"/>
      <c r="Q178" s="63"/>
      <c r="R178" s="63"/>
      <c r="S178" s="75">
        <f>M178+O178+P178+Q178+R178</f>
        <v>50754</v>
      </c>
      <c r="T178" s="75">
        <f>N178+R178</f>
        <v>0</v>
      </c>
      <c r="U178" s="63"/>
      <c r="V178" s="63"/>
      <c r="W178" s="63"/>
      <c r="X178" s="63"/>
      <c r="Y178" s="63"/>
      <c r="Z178" s="63"/>
      <c r="AA178" s="63"/>
      <c r="AB178" s="75">
        <f>S178+U178+V178+W178+X178+Y178+Z178+AA178</f>
        <v>50754</v>
      </c>
      <c r="AC178" s="75">
        <f>T178+Z178+AA178</f>
        <v>0</v>
      </c>
      <c r="AD178" s="63"/>
      <c r="AE178" s="63"/>
      <c r="AF178" s="75">
        <v>-20000</v>
      </c>
      <c r="AG178" s="63"/>
      <c r="AH178" s="63"/>
      <c r="AI178" s="75">
        <f>AB178+AD178+AE178+AF178+AG178+AH178</f>
        <v>30754</v>
      </c>
      <c r="AJ178" s="75">
        <f>AC178+AH178</f>
        <v>0</v>
      </c>
      <c r="AK178" s="63"/>
      <c r="AL178" s="75">
        <f>AI178+AK178</f>
        <v>30754</v>
      </c>
      <c r="AM178" s="75">
        <f>AJ178</f>
        <v>0</v>
      </c>
      <c r="AN178" s="75">
        <v>-30754</v>
      </c>
      <c r="AO178" s="75"/>
      <c r="AP178" s="75"/>
      <c r="AQ178" s="75"/>
      <c r="AR178" s="75">
        <f>AL178+AN178+AO178+AP178+AQ178</f>
        <v>0</v>
      </c>
      <c r="AS178" s="75">
        <f>AM178+AQ178</f>
        <v>0</v>
      </c>
      <c r="AT178" s="76"/>
      <c r="AU178" s="76"/>
      <c r="AV178" s="76"/>
      <c r="AW178" s="76"/>
      <c r="AX178" s="76"/>
      <c r="AY178" s="61"/>
      <c r="AZ178" s="61"/>
      <c r="BA178" s="61"/>
      <c r="BB178" s="61"/>
      <c r="BC178" s="61"/>
      <c r="BD178" s="62"/>
      <c r="BE178" s="62"/>
      <c r="BF178" s="63"/>
      <c r="BG178" s="63"/>
      <c r="BH178" s="63"/>
      <c r="BI178" s="63"/>
      <c r="BJ178" s="63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77" t="e">
        <f t="shared" si="177"/>
        <v>#DIV/0!</v>
      </c>
      <c r="BZ178" s="72"/>
    </row>
    <row r="179" spans="1:78" s="14" customFormat="1" ht="12.75" customHeight="1" hidden="1">
      <c r="A179" s="88" t="s">
        <v>360</v>
      </c>
      <c r="B179" s="89" t="s">
        <v>160</v>
      </c>
      <c r="C179" s="89" t="s">
        <v>127</v>
      </c>
      <c r="D179" s="90" t="s">
        <v>122</v>
      </c>
      <c r="E179" s="89" t="s">
        <v>153</v>
      </c>
      <c r="F179" s="75">
        <v>8063</v>
      </c>
      <c r="G179" s="75">
        <f>H179-F179</f>
        <v>-8063</v>
      </c>
      <c r="H179" s="79"/>
      <c r="I179" s="79"/>
      <c r="J179" s="79"/>
      <c r="K179" s="79"/>
      <c r="L179" s="79"/>
      <c r="M179" s="75">
        <f>H179+J179+K179+L179</f>
        <v>0</v>
      </c>
      <c r="N179" s="78">
        <f>I179+L179</f>
        <v>0</v>
      </c>
      <c r="O179" s="79"/>
      <c r="P179" s="79"/>
      <c r="Q179" s="79"/>
      <c r="R179" s="79"/>
      <c r="S179" s="75"/>
      <c r="T179" s="75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5"/>
      <c r="AG179" s="79"/>
      <c r="AH179" s="79"/>
      <c r="AI179" s="79"/>
      <c r="AJ179" s="79"/>
      <c r="AK179" s="79"/>
      <c r="AL179" s="79"/>
      <c r="AM179" s="79"/>
      <c r="AN179" s="75"/>
      <c r="AO179" s="75"/>
      <c r="AP179" s="75"/>
      <c r="AQ179" s="75"/>
      <c r="AR179" s="75"/>
      <c r="AS179" s="79"/>
      <c r="AT179" s="76"/>
      <c r="AU179" s="76"/>
      <c r="AV179" s="76"/>
      <c r="AW179" s="76"/>
      <c r="AX179" s="76"/>
      <c r="AY179" s="75"/>
      <c r="AZ179" s="75"/>
      <c r="BA179" s="75"/>
      <c r="BB179" s="75"/>
      <c r="BC179" s="75"/>
      <c r="BD179" s="78"/>
      <c r="BE179" s="78"/>
      <c r="BF179" s="79"/>
      <c r="BG179" s="79"/>
      <c r="BH179" s="79"/>
      <c r="BI179" s="79"/>
      <c r="BJ179" s="79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7" t="e">
        <f t="shared" si="177"/>
        <v>#DIV/0!</v>
      </c>
      <c r="BZ179" s="72"/>
    </row>
    <row r="180" spans="1:78" s="14" customFormat="1" ht="115.5" customHeight="1" hidden="1">
      <c r="A180" s="88" t="s">
        <v>364</v>
      </c>
      <c r="B180" s="89" t="s">
        <v>160</v>
      </c>
      <c r="C180" s="89" t="s">
        <v>127</v>
      </c>
      <c r="D180" s="90" t="s">
        <v>333</v>
      </c>
      <c r="E180" s="89"/>
      <c r="F180" s="75"/>
      <c r="G180" s="75"/>
      <c r="H180" s="79"/>
      <c r="I180" s="79"/>
      <c r="J180" s="79"/>
      <c r="K180" s="79"/>
      <c r="L180" s="79"/>
      <c r="M180" s="75"/>
      <c r="N180" s="78"/>
      <c r="O180" s="79"/>
      <c r="P180" s="79"/>
      <c r="Q180" s="79"/>
      <c r="R180" s="79"/>
      <c r="S180" s="75"/>
      <c r="T180" s="75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5"/>
      <c r="AG180" s="79"/>
      <c r="AH180" s="79"/>
      <c r="AI180" s="79"/>
      <c r="AJ180" s="79"/>
      <c r="AK180" s="79"/>
      <c r="AL180" s="79"/>
      <c r="AM180" s="79"/>
      <c r="AN180" s="75">
        <f aca="true" t="shared" si="213" ref="AN180:BX180">AN181</f>
        <v>20754</v>
      </c>
      <c r="AO180" s="75">
        <f t="shared" si="213"/>
        <v>0</v>
      </c>
      <c r="AP180" s="75">
        <f t="shared" si="213"/>
        <v>0</v>
      </c>
      <c r="AQ180" s="75">
        <f t="shared" si="213"/>
        <v>0</v>
      </c>
      <c r="AR180" s="75">
        <f t="shared" si="213"/>
        <v>20754</v>
      </c>
      <c r="AS180" s="79">
        <f t="shared" si="213"/>
        <v>0</v>
      </c>
      <c r="AT180" s="76">
        <f t="shared" si="213"/>
        <v>0</v>
      </c>
      <c r="AU180" s="76">
        <f t="shared" si="213"/>
        <v>0</v>
      </c>
      <c r="AV180" s="76">
        <f t="shared" si="213"/>
        <v>0</v>
      </c>
      <c r="AW180" s="76">
        <f t="shared" si="213"/>
        <v>20754</v>
      </c>
      <c r="AX180" s="76">
        <f t="shared" si="213"/>
        <v>0</v>
      </c>
      <c r="AY180" s="75">
        <f t="shared" si="213"/>
        <v>-18254</v>
      </c>
      <c r="AZ180" s="75">
        <f t="shared" si="213"/>
        <v>0</v>
      </c>
      <c r="BA180" s="75">
        <f t="shared" si="213"/>
        <v>0</v>
      </c>
      <c r="BB180" s="75">
        <f t="shared" si="213"/>
        <v>0</v>
      </c>
      <c r="BC180" s="75">
        <f t="shared" si="213"/>
        <v>0</v>
      </c>
      <c r="BD180" s="75">
        <f t="shared" si="213"/>
        <v>2500</v>
      </c>
      <c r="BE180" s="75">
        <f t="shared" si="213"/>
        <v>0</v>
      </c>
      <c r="BF180" s="75">
        <f t="shared" si="213"/>
        <v>0</v>
      </c>
      <c r="BG180" s="75">
        <f t="shared" si="213"/>
        <v>0</v>
      </c>
      <c r="BH180" s="75">
        <f t="shared" si="213"/>
        <v>0</v>
      </c>
      <c r="BI180" s="75">
        <f t="shared" si="213"/>
        <v>2500</v>
      </c>
      <c r="BJ180" s="75">
        <f t="shared" si="213"/>
        <v>0</v>
      </c>
      <c r="BK180" s="75">
        <f t="shared" si="213"/>
        <v>0</v>
      </c>
      <c r="BL180" s="75">
        <f t="shared" si="213"/>
        <v>0</v>
      </c>
      <c r="BM180" s="75">
        <f t="shared" si="213"/>
        <v>0</v>
      </c>
      <c r="BN180" s="75">
        <f t="shared" si="213"/>
        <v>0</v>
      </c>
      <c r="BO180" s="75">
        <f t="shared" si="213"/>
        <v>2500</v>
      </c>
      <c r="BP180" s="75">
        <f t="shared" si="213"/>
        <v>0</v>
      </c>
      <c r="BQ180" s="75">
        <f t="shared" si="213"/>
        <v>0</v>
      </c>
      <c r="BR180" s="75"/>
      <c r="BS180" s="75">
        <f t="shared" si="213"/>
        <v>0</v>
      </c>
      <c r="BT180" s="75">
        <f t="shared" si="213"/>
        <v>0</v>
      </c>
      <c r="BU180" s="75">
        <f t="shared" si="213"/>
        <v>2500</v>
      </c>
      <c r="BV180" s="75">
        <f t="shared" si="213"/>
        <v>0</v>
      </c>
      <c r="BW180" s="75">
        <f t="shared" si="213"/>
        <v>2500</v>
      </c>
      <c r="BX180" s="75">
        <f t="shared" si="213"/>
        <v>0</v>
      </c>
      <c r="BY180" s="77">
        <f t="shared" si="177"/>
        <v>100</v>
      </c>
      <c r="BZ180" s="72"/>
    </row>
    <row r="181" spans="1:78" s="14" customFormat="1" ht="105.75" customHeight="1" hidden="1">
      <c r="A181" s="88" t="s">
        <v>359</v>
      </c>
      <c r="B181" s="89" t="s">
        <v>160</v>
      </c>
      <c r="C181" s="89" t="s">
        <v>127</v>
      </c>
      <c r="D181" s="90" t="s">
        <v>333</v>
      </c>
      <c r="E181" s="89" t="s">
        <v>145</v>
      </c>
      <c r="F181" s="75"/>
      <c r="G181" s="75"/>
      <c r="H181" s="79"/>
      <c r="I181" s="79"/>
      <c r="J181" s="79"/>
      <c r="K181" s="79"/>
      <c r="L181" s="79"/>
      <c r="M181" s="75"/>
      <c r="N181" s="78"/>
      <c r="O181" s="79"/>
      <c r="P181" s="79"/>
      <c r="Q181" s="79"/>
      <c r="R181" s="79"/>
      <c r="S181" s="75"/>
      <c r="T181" s="75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5"/>
      <c r="AG181" s="79"/>
      <c r="AH181" s="79"/>
      <c r="AI181" s="79"/>
      <c r="AJ181" s="79"/>
      <c r="AK181" s="79"/>
      <c r="AL181" s="79"/>
      <c r="AM181" s="79"/>
      <c r="AN181" s="75">
        <v>20754</v>
      </c>
      <c r="AO181" s="75"/>
      <c r="AP181" s="75"/>
      <c r="AQ181" s="75"/>
      <c r="AR181" s="75">
        <f>AL181+AN181+AO181+AP181+AQ181</f>
        <v>20754</v>
      </c>
      <c r="AS181" s="75">
        <f>AM181+AQ181</f>
        <v>0</v>
      </c>
      <c r="AT181" s="76"/>
      <c r="AU181" s="76"/>
      <c r="AV181" s="76"/>
      <c r="AW181" s="76">
        <f>AV181+AU181+AT181+AR181</f>
        <v>20754</v>
      </c>
      <c r="AX181" s="76">
        <f>AV181+AS181</f>
        <v>0</v>
      </c>
      <c r="AY181" s="75">
        <v>-18254</v>
      </c>
      <c r="AZ181" s="75"/>
      <c r="BA181" s="75"/>
      <c r="BB181" s="75"/>
      <c r="BC181" s="75"/>
      <c r="BD181" s="75">
        <f>AW181+AY181+AZ181+BA181+BB181+BC181</f>
        <v>2500</v>
      </c>
      <c r="BE181" s="75">
        <f>AX181+BC181</f>
        <v>0</v>
      </c>
      <c r="BF181" s="79"/>
      <c r="BG181" s="79"/>
      <c r="BH181" s="79"/>
      <c r="BI181" s="75">
        <f>BD181+BF181+BG181+BH181</f>
        <v>2500</v>
      </c>
      <c r="BJ181" s="75">
        <f>BE181+BH181</f>
        <v>0</v>
      </c>
      <c r="BK181" s="78"/>
      <c r="BL181" s="78"/>
      <c r="BM181" s="78"/>
      <c r="BN181" s="78"/>
      <c r="BO181" s="75">
        <f>BI181+BK181+BL181+BM181+BN181</f>
        <v>2500</v>
      </c>
      <c r="BP181" s="75">
        <f>BJ181+BN181</f>
        <v>0</v>
      </c>
      <c r="BQ181" s="79"/>
      <c r="BR181" s="79"/>
      <c r="BS181" s="79"/>
      <c r="BT181" s="79"/>
      <c r="BU181" s="75">
        <f>BO181+BQ181+BS181+BT181</f>
        <v>2500</v>
      </c>
      <c r="BV181" s="75">
        <f>BP181+BT181</f>
        <v>0</v>
      </c>
      <c r="BW181" s="75">
        <v>2500</v>
      </c>
      <c r="BX181" s="75">
        <f>BR181+BV181</f>
        <v>0</v>
      </c>
      <c r="BY181" s="77">
        <f t="shared" si="177"/>
        <v>100</v>
      </c>
      <c r="BZ181" s="72"/>
    </row>
    <row r="182" spans="1:78" s="14" customFormat="1" ht="64.5" customHeight="1" hidden="1">
      <c r="A182" s="88" t="s">
        <v>397</v>
      </c>
      <c r="B182" s="89" t="s">
        <v>160</v>
      </c>
      <c r="C182" s="89" t="s">
        <v>127</v>
      </c>
      <c r="D182" s="90" t="s">
        <v>334</v>
      </c>
      <c r="E182" s="89"/>
      <c r="F182" s="75"/>
      <c r="G182" s="75"/>
      <c r="H182" s="79"/>
      <c r="I182" s="79"/>
      <c r="J182" s="79"/>
      <c r="K182" s="79"/>
      <c r="L182" s="79"/>
      <c r="M182" s="75"/>
      <c r="N182" s="78"/>
      <c r="O182" s="79"/>
      <c r="P182" s="79"/>
      <c r="Q182" s="79"/>
      <c r="R182" s="79"/>
      <c r="S182" s="75"/>
      <c r="T182" s="75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5"/>
      <c r="AG182" s="79"/>
      <c r="AH182" s="79"/>
      <c r="AI182" s="79"/>
      <c r="AJ182" s="79"/>
      <c r="AK182" s="79"/>
      <c r="AL182" s="79"/>
      <c r="AM182" s="79"/>
      <c r="AN182" s="75">
        <f aca="true" t="shared" si="214" ref="AN182:BX182">AN183</f>
        <v>10000</v>
      </c>
      <c r="AO182" s="75">
        <f t="shared" si="214"/>
        <v>0</v>
      </c>
      <c r="AP182" s="75">
        <f t="shared" si="214"/>
        <v>0</v>
      </c>
      <c r="AQ182" s="75">
        <f t="shared" si="214"/>
        <v>0</v>
      </c>
      <c r="AR182" s="75">
        <f t="shared" si="214"/>
        <v>10000</v>
      </c>
      <c r="AS182" s="79">
        <f t="shared" si="214"/>
        <v>0</v>
      </c>
      <c r="AT182" s="76">
        <f t="shared" si="214"/>
        <v>0</v>
      </c>
      <c r="AU182" s="76">
        <f t="shared" si="214"/>
        <v>0</v>
      </c>
      <c r="AV182" s="76">
        <f t="shared" si="214"/>
        <v>0</v>
      </c>
      <c r="AW182" s="76">
        <f t="shared" si="214"/>
        <v>10000</v>
      </c>
      <c r="AX182" s="76">
        <f t="shared" si="214"/>
        <v>0</v>
      </c>
      <c r="AY182" s="75">
        <f t="shared" si="214"/>
        <v>-8000</v>
      </c>
      <c r="AZ182" s="75">
        <f t="shared" si="214"/>
        <v>0</v>
      </c>
      <c r="BA182" s="75">
        <f t="shared" si="214"/>
        <v>0</v>
      </c>
      <c r="BB182" s="75">
        <f t="shared" si="214"/>
        <v>0</v>
      </c>
      <c r="BC182" s="75">
        <f t="shared" si="214"/>
        <v>0</v>
      </c>
      <c r="BD182" s="75">
        <f t="shared" si="214"/>
        <v>2000</v>
      </c>
      <c r="BE182" s="75">
        <f t="shared" si="214"/>
        <v>0</v>
      </c>
      <c r="BF182" s="75">
        <f t="shared" si="214"/>
        <v>0</v>
      </c>
      <c r="BG182" s="75">
        <f t="shared" si="214"/>
        <v>0</v>
      </c>
      <c r="BH182" s="75">
        <f t="shared" si="214"/>
        <v>0</v>
      </c>
      <c r="BI182" s="75">
        <f t="shared" si="214"/>
        <v>2000</v>
      </c>
      <c r="BJ182" s="75">
        <f t="shared" si="214"/>
        <v>0</v>
      </c>
      <c r="BK182" s="75">
        <f t="shared" si="214"/>
        <v>0</v>
      </c>
      <c r="BL182" s="75">
        <f t="shared" si="214"/>
        <v>0</v>
      </c>
      <c r="BM182" s="75">
        <f t="shared" si="214"/>
        <v>0</v>
      </c>
      <c r="BN182" s="75">
        <f t="shared" si="214"/>
        <v>0</v>
      </c>
      <c r="BO182" s="75">
        <f t="shared" si="214"/>
        <v>2000</v>
      </c>
      <c r="BP182" s="75">
        <f t="shared" si="214"/>
        <v>0</v>
      </c>
      <c r="BQ182" s="75">
        <f t="shared" si="214"/>
        <v>0</v>
      </c>
      <c r="BR182" s="75"/>
      <c r="BS182" s="75">
        <f t="shared" si="214"/>
        <v>0</v>
      </c>
      <c r="BT182" s="75">
        <f t="shared" si="214"/>
        <v>0</v>
      </c>
      <c r="BU182" s="75">
        <f t="shared" si="214"/>
        <v>2000</v>
      </c>
      <c r="BV182" s="75">
        <f t="shared" si="214"/>
        <v>0</v>
      </c>
      <c r="BW182" s="75">
        <f t="shared" si="214"/>
        <v>2000</v>
      </c>
      <c r="BX182" s="75">
        <f t="shared" si="214"/>
        <v>0</v>
      </c>
      <c r="BY182" s="77">
        <f t="shared" si="177"/>
        <v>100</v>
      </c>
      <c r="BZ182" s="72"/>
    </row>
    <row r="183" spans="1:78" s="14" customFormat="1" ht="104.25" customHeight="1" hidden="1">
      <c r="A183" s="88" t="s">
        <v>359</v>
      </c>
      <c r="B183" s="89" t="s">
        <v>160</v>
      </c>
      <c r="C183" s="89" t="s">
        <v>127</v>
      </c>
      <c r="D183" s="90" t="s">
        <v>334</v>
      </c>
      <c r="E183" s="89" t="s">
        <v>145</v>
      </c>
      <c r="F183" s="75"/>
      <c r="G183" s="75"/>
      <c r="H183" s="79"/>
      <c r="I183" s="79"/>
      <c r="J183" s="79"/>
      <c r="K183" s="79"/>
      <c r="L183" s="79"/>
      <c r="M183" s="75"/>
      <c r="N183" s="78"/>
      <c r="O183" s="79"/>
      <c r="P183" s="79"/>
      <c r="Q183" s="79"/>
      <c r="R183" s="79"/>
      <c r="S183" s="75"/>
      <c r="T183" s="75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5"/>
      <c r="AG183" s="79"/>
      <c r="AH183" s="79"/>
      <c r="AI183" s="79"/>
      <c r="AJ183" s="79"/>
      <c r="AK183" s="79"/>
      <c r="AL183" s="79"/>
      <c r="AM183" s="79"/>
      <c r="AN183" s="75">
        <v>10000</v>
      </c>
      <c r="AO183" s="75"/>
      <c r="AP183" s="75"/>
      <c r="AQ183" s="75"/>
      <c r="AR183" s="75">
        <f>AL183+AN183+AO183+AP183+AQ183</f>
        <v>10000</v>
      </c>
      <c r="AS183" s="75">
        <f>AM183+AQ183</f>
        <v>0</v>
      </c>
      <c r="AT183" s="76"/>
      <c r="AU183" s="76"/>
      <c r="AV183" s="76"/>
      <c r="AW183" s="76">
        <f>AV183+AU183+AT183+AR183</f>
        <v>10000</v>
      </c>
      <c r="AX183" s="76">
        <f>AV183+AS183</f>
        <v>0</v>
      </c>
      <c r="AY183" s="75">
        <v>-8000</v>
      </c>
      <c r="AZ183" s="75"/>
      <c r="BA183" s="75"/>
      <c r="BB183" s="75"/>
      <c r="BC183" s="75"/>
      <c r="BD183" s="75">
        <f>AW183+AY183+AZ183+BA183+BB183+BC183</f>
        <v>2000</v>
      </c>
      <c r="BE183" s="75">
        <f>AX183+BC183</f>
        <v>0</v>
      </c>
      <c r="BF183" s="79"/>
      <c r="BG183" s="79"/>
      <c r="BH183" s="79"/>
      <c r="BI183" s="75">
        <f>BD183+BF183+BG183+BH183</f>
        <v>2000</v>
      </c>
      <c r="BJ183" s="75">
        <f>BE183+BH183</f>
        <v>0</v>
      </c>
      <c r="BK183" s="78"/>
      <c r="BL183" s="78"/>
      <c r="BM183" s="78"/>
      <c r="BN183" s="78"/>
      <c r="BO183" s="75">
        <f>BI183+BK183+BL183+BM183+BN183</f>
        <v>2000</v>
      </c>
      <c r="BP183" s="75">
        <f>BJ183+BN183</f>
        <v>0</v>
      </c>
      <c r="BQ183" s="79"/>
      <c r="BR183" s="79"/>
      <c r="BS183" s="79"/>
      <c r="BT183" s="79"/>
      <c r="BU183" s="75">
        <f>BO183+BQ183+BS183+BT183</f>
        <v>2000</v>
      </c>
      <c r="BV183" s="75">
        <f>BP183+BT183</f>
        <v>0</v>
      </c>
      <c r="BW183" s="75">
        <v>2000</v>
      </c>
      <c r="BX183" s="75">
        <f>BR183+BV183</f>
        <v>0</v>
      </c>
      <c r="BY183" s="77">
        <f t="shared" si="177"/>
        <v>100</v>
      </c>
      <c r="BZ183" s="72"/>
    </row>
    <row r="184" spans="1:78" s="14" customFormat="1" ht="15" customHeight="1">
      <c r="A184" s="88"/>
      <c r="B184" s="89"/>
      <c r="C184" s="89"/>
      <c r="D184" s="144"/>
      <c r="E184" s="89"/>
      <c r="F184" s="75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5"/>
      <c r="T184" s="75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5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81"/>
      <c r="AU184" s="81"/>
      <c r="AV184" s="81"/>
      <c r="AW184" s="81"/>
      <c r="AX184" s="81"/>
      <c r="AY184" s="75"/>
      <c r="AZ184" s="75"/>
      <c r="BA184" s="75"/>
      <c r="BB184" s="75"/>
      <c r="BC184" s="75"/>
      <c r="BD184" s="78"/>
      <c r="BE184" s="78"/>
      <c r="BF184" s="79"/>
      <c r="BG184" s="79"/>
      <c r="BH184" s="79"/>
      <c r="BI184" s="79"/>
      <c r="BJ184" s="79"/>
      <c r="BK184" s="78"/>
      <c r="BL184" s="78"/>
      <c r="BM184" s="78"/>
      <c r="BN184" s="78"/>
      <c r="BO184" s="78"/>
      <c r="BP184" s="78"/>
      <c r="BQ184" s="79"/>
      <c r="BR184" s="79"/>
      <c r="BS184" s="79"/>
      <c r="BT184" s="79"/>
      <c r="BU184" s="79"/>
      <c r="BV184" s="79"/>
      <c r="BW184" s="79"/>
      <c r="BX184" s="79"/>
      <c r="BY184" s="72"/>
      <c r="BZ184" s="72"/>
    </row>
    <row r="185" spans="1:78" s="16" customFormat="1" ht="19.5" customHeight="1">
      <c r="A185" s="66" t="s">
        <v>53</v>
      </c>
      <c r="B185" s="67" t="s">
        <v>160</v>
      </c>
      <c r="C185" s="67" t="s">
        <v>128</v>
      </c>
      <c r="D185" s="85"/>
      <c r="E185" s="67"/>
      <c r="F185" s="86">
        <f aca="true" t="shared" si="215" ref="F185:S185">F186+F188+F197</f>
        <v>180381</v>
      </c>
      <c r="G185" s="86">
        <f t="shared" si="215"/>
        <v>100164</v>
      </c>
      <c r="H185" s="86">
        <f t="shared" si="215"/>
        <v>280545</v>
      </c>
      <c r="I185" s="86">
        <f t="shared" si="215"/>
        <v>18396</v>
      </c>
      <c r="J185" s="86">
        <f t="shared" si="215"/>
        <v>0</v>
      </c>
      <c r="K185" s="86">
        <f t="shared" si="215"/>
        <v>0</v>
      </c>
      <c r="L185" s="86">
        <f t="shared" si="215"/>
        <v>-8584</v>
      </c>
      <c r="M185" s="86">
        <f t="shared" si="215"/>
        <v>271961</v>
      </c>
      <c r="N185" s="86">
        <f t="shared" si="215"/>
        <v>9812</v>
      </c>
      <c r="O185" s="86">
        <f t="shared" si="215"/>
        <v>0</v>
      </c>
      <c r="P185" s="86">
        <f t="shared" si="215"/>
        <v>0</v>
      </c>
      <c r="Q185" s="86">
        <f t="shared" si="215"/>
        <v>0</v>
      </c>
      <c r="R185" s="86">
        <f t="shared" si="215"/>
        <v>0</v>
      </c>
      <c r="S185" s="86">
        <f t="shared" si="215"/>
        <v>271961</v>
      </c>
      <c r="T185" s="86">
        <f aca="true" t="shared" si="216" ref="T185:AC185">T186+T188+T197</f>
        <v>9812</v>
      </c>
      <c r="U185" s="86">
        <f t="shared" si="216"/>
        <v>0</v>
      </c>
      <c r="V185" s="86">
        <f t="shared" si="216"/>
        <v>0</v>
      </c>
      <c r="W185" s="86">
        <f t="shared" si="216"/>
        <v>0</v>
      </c>
      <c r="X185" s="86">
        <f t="shared" si="216"/>
        <v>0</v>
      </c>
      <c r="Y185" s="86">
        <f t="shared" si="216"/>
        <v>0</v>
      </c>
      <c r="Z185" s="86">
        <f t="shared" si="216"/>
        <v>0</v>
      </c>
      <c r="AA185" s="86">
        <f t="shared" si="216"/>
        <v>-4987</v>
      </c>
      <c r="AB185" s="86">
        <f t="shared" si="216"/>
        <v>266974</v>
      </c>
      <c r="AC185" s="86">
        <f t="shared" si="216"/>
        <v>4825</v>
      </c>
      <c r="AD185" s="86">
        <f aca="true" t="shared" si="217" ref="AD185:AJ185">AD186+AD188+AD197</f>
        <v>0</v>
      </c>
      <c r="AE185" s="86">
        <f t="shared" si="217"/>
        <v>0</v>
      </c>
      <c r="AF185" s="86">
        <f t="shared" si="217"/>
        <v>-72943</v>
      </c>
      <c r="AG185" s="86">
        <f t="shared" si="217"/>
        <v>0</v>
      </c>
      <c r="AH185" s="86">
        <f t="shared" si="217"/>
        <v>0</v>
      </c>
      <c r="AI185" s="86">
        <f t="shared" si="217"/>
        <v>194031</v>
      </c>
      <c r="AJ185" s="86">
        <f t="shared" si="217"/>
        <v>4825</v>
      </c>
      <c r="AK185" s="86">
        <f>AK186+AK188+AK197</f>
        <v>30000</v>
      </c>
      <c r="AL185" s="86">
        <f>AL186+AL188+AL197</f>
        <v>224031</v>
      </c>
      <c r="AM185" s="86">
        <f>AM186+AM188+AM197</f>
        <v>4825</v>
      </c>
      <c r="AN185" s="86">
        <f aca="true" t="shared" si="218" ref="AN185:AS185">AN186+AN188+AN197+AN206</f>
        <v>475</v>
      </c>
      <c r="AO185" s="86">
        <f t="shared" si="218"/>
        <v>0</v>
      </c>
      <c r="AP185" s="86">
        <f t="shared" si="218"/>
        <v>0</v>
      </c>
      <c r="AQ185" s="86">
        <f t="shared" si="218"/>
        <v>0</v>
      </c>
      <c r="AR185" s="86">
        <f t="shared" si="218"/>
        <v>224506</v>
      </c>
      <c r="AS185" s="86">
        <f t="shared" si="218"/>
        <v>4825</v>
      </c>
      <c r="AT185" s="87">
        <f aca="true" t="shared" si="219" ref="AT185:BE185">AT186+AT188+AT197+AT206</f>
        <v>-9161</v>
      </c>
      <c r="AU185" s="87">
        <f t="shared" si="219"/>
        <v>0</v>
      </c>
      <c r="AV185" s="87">
        <f t="shared" si="219"/>
        <v>0</v>
      </c>
      <c r="AW185" s="87">
        <f t="shared" si="219"/>
        <v>215345</v>
      </c>
      <c r="AX185" s="87">
        <f t="shared" si="219"/>
        <v>4825</v>
      </c>
      <c r="AY185" s="86">
        <f t="shared" si="219"/>
        <v>-16256</v>
      </c>
      <c r="AZ185" s="86">
        <f t="shared" si="219"/>
        <v>1900</v>
      </c>
      <c r="BA185" s="86">
        <f>BA186+BA188+BA197+BA206</f>
        <v>0</v>
      </c>
      <c r="BB185" s="86">
        <f>BB186+BB188+BB197+BB206</f>
        <v>3727</v>
      </c>
      <c r="BC185" s="86">
        <f t="shared" si="219"/>
        <v>94033</v>
      </c>
      <c r="BD185" s="86">
        <f t="shared" si="219"/>
        <v>298749</v>
      </c>
      <c r="BE185" s="86">
        <f t="shared" si="219"/>
        <v>98858</v>
      </c>
      <c r="BF185" s="86">
        <f aca="true" t="shared" si="220" ref="BF185:BP185">BF186+BF188+BF197+BF206</f>
        <v>0</v>
      </c>
      <c r="BG185" s="86">
        <f t="shared" si="220"/>
        <v>0</v>
      </c>
      <c r="BH185" s="86">
        <f t="shared" si="220"/>
        <v>0</v>
      </c>
      <c r="BI185" s="86">
        <f t="shared" si="220"/>
        <v>298749</v>
      </c>
      <c r="BJ185" s="86">
        <f t="shared" si="220"/>
        <v>98858</v>
      </c>
      <c r="BK185" s="86">
        <f t="shared" si="220"/>
        <v>0</v>
      </c>
      <c r="BL185" s="86">
        <f t="shared" si="220"/>
        <v>0</v>
      </c>
      <c r="BM185" s="86">
        <f t="shared" si="220"/>
        <v>21404</v>
      </c>
      <c r="BN185" s="86">
        <f t="shared" si="220"/>
        <v>57000</v>
      </c>
      <c r="BO185" s="86">
        <f t="shared" si="220"/>
        <v>377153</v>
      </c>
      <c r="BP185" s="86">
        <f t="shared" si="220"/>
        <v>155858</v>
      </c>
      <c r="BQ185" s="86">
        <f>BQ186+BQ188+BQ197+BQ206</f>
        <v>-2574</v>
      </c>
      <c r="BR185" s="86"/>
      <c r="BS185" s="86">
        <f aca="true" t="shared" si="221" ref="BS185:BX185">BS186+BS188+BS197+BS206</f>
        <v>0</v>
      </c>
      <c r="BT185" s="86">
        <f t="shared" si="221"/>
        <v>0</v>
      </c>
      <c r="BU185" s="86">
        <f t="shared" si="221"/>
        <v>374579</v>
      </c>
      <c r="BV185" s="86">
        <f t="shared" si="221"/>
        <v>155858</v>
      </c>
      <c r="BW185" s="86">
        <f t="shared" si="221"/>
        <v>362792</v>
      </c>
      <c r="BX185" s="86">
        <f t="shared" si="221"/>
        <v>155858</v>
      </c>
      <c r="BY185" s="71">
        <f t="shared" si="177"/>
        <v>96.85326726805293</v>
      </c>
      <c r="BZ185" s="71">
        <f>BX185/BV185*100</f>
        <v>100</v>
      </c>
    </row>
    <row r="186" spans="1:78" s="16" customFormat="1" ht="57.75" customHeight="1" hidden="1">
      <c r="A186" s="88" t="s">
        <v>152</v>
      </c>
      <c r="B186" s="89" t="s">
        <v>160</v>
      </c>
      <c r="C186" s="89" t="s">
        <v>128</v>
      </c>
      <c r="D186" s="90" t="s">
        <v>39</v>
      </c>
      <c r="E186" s="89"/>
      <c r="F186" s="91">
        <f aca="true" t="shared" si="222" ref="F186:BQ186">F187</f>
        <v>23178</v>
      </c>
      <c r="G186" s="91">
        <f t="shared" si="222"/>
        <v>53604</v>
      </c>
      <c r="H186" s="91">
        <f t="shared" si="222"/>
        <v>76782</v>
      </c>
      <c r="I186" s="91">
        <f t="shared" si="222"/>
        <v>0</v>
      </c>
      <c r="J186" s="91">
        <f t="shared" si="222"/>
        <v>0</v>
      </c>
      <c r="K186" s="91">
        <f t="shared" si="222"/>
        <v>0</v>
      </c>
      <c r="L186" s="91">
        <f t="shared" si="222"/>
        <v>0</v>
      </c>
      <c r="M186" s="91">
        <f t="shared" si="222"/>
        <v>76782</v>
      </c>
      <c r="N186" s="91">
        <f t="shared" si="222"/>
        <v>0</v>
      </c>
      <c r="O186" s="91">
        <f t="shared" si="222"/>
        <v>0</v>
      </c>
      <c r="P186" s="91"/>
      <c r="Q186" s="91">
        <f t="shared" si="222"/>
        <v>0</v>
      </c>
      <c r="R186" s="91">
        <f t="shared" si="222"/>
        <v>0</v>
      </c>
      <c r="S186" s="91">
        <f t="shared" si="222"/>
        <v>76782</v>
      </c>
      <c r="T186" s="91">
        <f t="shared" si="222"/>
        <v>0</v>
      </c>
      <c r="U186" s="91">
        <f t="shared" si="222"/>
        <v>0</v>
      </c>
      <c r="V186" s="91">
        <f t="shared" si="222"/>
        <v>0</v>
      </c>
      <c r="W186" s="91">
        <f t="shared" si="222"/>
        <v>0</v>
      </c>
      <c r="X186" s="91">
        <f t="shared" si="222"/>
        <v>0</v>
      </c>
      <c r="Y186" s="91">
        <f t="shared" si="222"/>
        <v>0</v>
      </c>
      <c r="Z186" s="91">
        <f t="shared" si="222"/>
        <v>0</v>
      </c>
      <c r="AA186" s="91">
        <f t="shared" si="222"/>
        <v>0</v>
      </c>
      <c r="AB186" s="91">
        <f t="shared" si="222"/>
        <v>76782</v>
      </c>
      <c r="AC186" s="91">
        <f t="shared" si="222"/>
        <v>0</v>
      </c>
      <c r="AD186" s="91">
        <f t="shared" si="222"/>
        <v>0</v>
      </c>
      <c r="AE186" s="91">
        <f t="shared" si="222"/>
        <v>0</v>
      </c>
      <c r="AF186" s="91">
        <f t="shared" si="222"/>
        <v>-41621</v>
      </c>
      <c r="AG186" s="91">
        <f t="shared" si="222"/>
        <v>0</v>
      </c>
      <c r="AH186" s="91">
        <f t="shared" si="222"/>
        <v>0</v>
      </c>
      <c r="AI186" s="91">
        <f t="shared" si="222"/>
        <v>35161</v>
      </c>
      <c r="AJ186" s="91">
        <f t="shared" si="222"/>
        <v>0</v>
      </c>
      <c r="AK186" s="91">
        <f t="shared" si="222"/>
        <v>0</v>
      </c>
      <c r="AL186" s="91">
        <f t="shared" si="222"/>
        <v>35161</v>
      </c>
      <c r="AM186" s="91">
        <f t="shared" si="222"/>
        <v>0</v>
      </c>
      <c r="AN186" s="91">
        <f t="shared" si="222"/>
        <v>0</v>
      </c>
      <c r="AO186" s="91">
        <f t="shared" si="222"/>
        <v>0</v>
      </c>
      <c r="AP186" s="91">
        <f t="shared" si="222"/>
        <v>0</v>
      </c>
      <c r="AQ186" s="91">
        <f t="shared" si="222"/>
        <v>0</v>
      </c>
      <c r="AR186" s="91">
        <f t="shared" si="222"/>
        <v>35161</v>
      </c>
      <c r="AS186" s="91">
        <f t="shared" si="222"/>
        <v>0</v>
      </c>
      <c r="AT186" s="92">
        <f t="shared" si="222"/>
        <v>-9161</v>
      </c>
      <c r="AU186" s="92">
        <f t="shared" si="222"/>
        <v>0</v>
      </c>
      <c r="AV186" s="92">
        <f t="shared" si="222"/>
        <v>0</v>
      </c>
      <c r="AW186" s="92">
        <f t="shared" si="222"/>
        <v>26000</v>
      </c>
      <c r="AX186" s="92">
        <f t="shared" si="222"/>
        <v>0</v>
      </c>
      <c r="AY186" s="91">
        <f t="shared" si="222"/>
        <v>-408</v>
      </c>
      <c r="AZ186" s="91">
        <f t="shared" si="222"/>
        <v>0</v>
      </c>
      <c r="BA186" s="91">
        <f t="shared" si="222"/>
        <v>0</v>
      </c>
      <c r="BB186" s="91">
        <f t="shared" si="222"/>
        <v>0</v>
      </c>
      <c r="BC186" s="91">
        <f t="shared" si="222"/>
        <v>0</v>
      </c>
      <c r="BD186" s="91">
        <f t="shared" si="222"/>
        <v>25592</v>
      </c>
      <c r="BE186" s="91">
        <f t="shared" si="222"/>
        <v>0</v>
      </c>
      <c r="BF186" s="91">
        <f t="shared" si="222"/>
        <v>0</v>
      </c>
      <c r="BG186" s="91">
        <f t="shared" si="222"/>
        <v>0</v>
      </c>
      <c r="BH186" s="91">
        <f t="shared" si="222"/>
        <v>0</v>
      </c>
      <c r="BI186" s="91">
        <f t="shared" si="222"/>
        <v>25592</v>
      </c>
      <c r="BJ186" s="91">
        <f t="shared" si="222"/>
        <v>0</v>
      </c>
      <c r="BK186" s="91">
        <f t="shared" si="222"/>
        <v>0</v>
      </c>
      <c r="BL186" s="91">
        <f t="shared" si="222"/>
        <v>0</v>
      </c>
      <c r="BM186" s="91">
        <f t="shared" si="222"/>
        <v>0</v>
      </c>
      <c r="BN186" s="91">
        <f t="shared" si="222"/>
        <v>0</v>
      </c>
      <c r="BO186" s="91">
        <f t="shared" si="222"/>
        <v>25592</v>
      </c>
      <c r="BP186" s="91">
        <f t="shared" si="222"/>
        <v>0</v>
      </c>
      <c r="BQ186" s="91">
        <f t="shared" si="222"/>
        <v>-184</v>
      </c>
      <c r="BR186" s="91"/>
      <c r="BS186" s="91">
        <f aca="true" t="shared" si="223" ref="BS186:BX186">BS187</f>
        <v>0</v>
      </c>
      <c r="BT186" s="91">
        <f t="shared" si="223"/>
        <v>0</v>
      </c>
      <c r="BU186" s="91">
        <f t="shared" si="223"/>
        <v>25408</v>
      </c>
      <c r="BV186" s="91">
        <f t="shared" si="223"/>
        <v>0</v>
      </c>
      <c r="BW186" s="91">
        <f t="shared" si="223"/>
        <v>25266</v>
      </c>
      <c r="BX186" s="91">
        <f t="shared" si="223"/>
        <v>0</v>
      </c>
      <c r="BY186" s="77">
        <f t="shared" si="177"/>
        <v>99.441120906801</v>
      </c>
      <c r="BZ186" s="72"/>
    </row>
    <row r="187" spans="1:78" s="20" customFormat="1" ht="111" customHeight="1" hidden="1">
      <c r="A187" s="88" t="s">
        <v>360</v>
      </c>
      <c r="B187" s="89" t="s">
        <v>160</v>
      </c>
      <c r="C187" s="89" t="s">
        <v>128</v>
      </c>
      <c r="D187" s="90" t="s">
        <v>39</v>
      </c>
      <c r="E187" s="89" t="s">
        <v>153</v>
      </c>
      <c r="F187" s="75">
        <v>23178</v>
      </c>
      <c r="G187" s="75">
        <f>H187-F187</f>
        <v>53604</v>
      </c>
      <c r="H187" s="75">
        <v>76782</v>
      </c>
      <c r="I187" s="131"/>
      <c r="J187" s="131"/>
      <c r="K187" s="131"/>
      <c r="L187" s="131"/>
      <c r="M187" s="75">
        <f>H187+J187+K187+L187</f>
        <v>76782</v>
      </c>
      <c r="N187" s="78">
        <f>I187+L187</f>
        <v>0</v>
      </c>
      <c r="O187" s="131"/>
      <c r="P187" s="131"/>
      <c r="Q187" s="131"/>
      <c r="R187" s="131"/>
      <c r="S187" s="75">
        <f>M187+O187+P187+Q187+R187</f>
        <v>76782</v>
      </c>
      <c r="T187" s="75">
        <f>N187+R187</f>
        <v>0</v>
      </c>
      <c r="U187" s="131"/>
      <c r="V187" s="131"/>
      <c r="W187" s="131"/>
      <c r="X187" s="131"/>
      <c r="Y187" s="131"/>
      <c r="Z187" s="131"/>
      <c r="AA187" s="131"/>
      <c r="AB187" s="75">
        <f>S187+U187+V187+W187+X187+Y187+Z187+AA187</f>
        <v>76782</v>
      </c>
      <c r="AC187" s="75">
        <f>T187+Z187+AA187</f>
        <v>0</v>
      </c>
      <c r="AD187" s="131"/>
      <c r="AE187" s="131"/>
      <c r="AF187" s="75">
        <v>-41621</v>
      </c>
      <c r="AG187" s="131"/>
      <c r="AH187" s="131"/>
      <c r="AI187" s="75">
        <f>AB187+AD187+AE187+AF187+AG187+AH187</f>
        <v>35161</v>
      </c>
      <c r="AJ187" s="75">
        <f>AC187+AH187</f>
        <v>0</v>
      </c>
      <c r="AK187" s="131"/>
      <c r="AL187" s="75">
        <f>AI187+AK187</f>
        <v>35161</v>
      </c>
      <c r="AM187" s="75">
        <f>AJ187</f>
        <v>0</v>
      </c>
      <c r="AN187" s="131"/>
      <c r="AO187" s="131"/>
      <c r="AP187" s="131"/>
      <c r="AQ187" s="131"/>
      <c r="AR187" s="75">
        <f>AL187+AN187+AO187+AP187+AQ187</f>
        <v>35161</v>
      </c>
      <c r="AS187" s="75">
        <f>AM187+AQ187</f>
        <v>0</v>
      </c>
      <c r="AT187" s="81">
        <v>-9161</v>
      </c>
      <c r="AU187" s="81"/>
      <c r="AV187" s="119"/>
      <c r="AW187" s="76">
        <f>AV187+AU187+AT187+AR187</f>
        <v>26000</v>
      </c>
      <c r="AX187" s="76">
        <f>AV187+AS187</f>
        <v>0</v>
      </c>
      <c r="AY187" s="75">
        <v>-408</v>
      </c>
      <c r="AZ187" s="133"/>
      <c r="BA187" s="133"/>
      <c r="BB187" s="133"/>
      <c r="BC187" s="133"/>
      <c r="BD187" s="75">
        <f>AW187+AY187+AZ187+BA187+BB187+BC187</f>
        <v>25592</v>
      </c>
      <c r="BE187" s="75">
        <f>AX187+BC187</f>
        <v>0</v>
      </c>
      <c r="BF187" s="131"/>
      <c r="BG187" s="131"/>
      <c r="BH187" s="131"/>
      <c r="BI187" s="75">
        <f>BD187+BF187+BG187+BH187</f>
        <v>25592</v>
      </c>
      <c r="BJ187" s="75">
        <f>BE187+BH187</f>
        <v>0</v>
      </c>
      <c r="BK187" s="118"/>
      <c r="BL187" s="118"/>
      <c r="BM187" s="118"/>
      <c r="BN187" s="118"/>
      <c r="BO187" s="75">
        <f>BI187+BK187+BL187+BM187+BN187</f>
        <v>25592</v>
      </c>
      <c r="BP187" s="75">
        <f>BJ187+BN187</f>
        <v>0</v>
      </c>
      <c r="BQ187" s="78">
        <v>-184</v>
      </c>
      <c r="BR187" s="78"/>
      <c r="BS187" s="131"/>
      <c r="BT187" s="131"/>
      <c r="BU187" s="75">
        <f>BO187+BQ187+BS187+BT187</f>
        <v>25408</v>
      </c>
      <c r="BV187" s="75">
        <f>BP187+BT187</f>
        <v>0</v>
      </c>
      <c r="BW187" s="75">
        <v>25266</v>
      </c>
      <c r="BX187" s="75">
        <f>BR187+BV187</f>
        <v>0</v>
      </c>
      <c r="BY187" s="77">
        <f t="shared" si="177"/>
        <v>99.441120906801</v>
      </c>
      <c r="BZ187" s="72"/>
    </row>
    <row r="188" spans="1:78" s="16" customFormat="1" ht="25.5" customHeight="1" hidden="1">
      <c r="A188" s="88" t="s">
        <v>54</v>
      </c>
      <c r="B188" s="89" t="s">
        <v>160</v>
      </c>
      <c r="C188" s="89" t="s">
        <v>128</v>
      </c>
      <c r="D188" s="90" t="s">
        <v>161</v>
      </c>
      <c r="E188" s="89"/>
      <c r="F188" s="91">
        <f aca="true" t="shared" si="224" ref="F188:AC188">F189+F190+F194</f>
        <v>149440</v>
      </c>
      <c r="G188" s="91">
        <f t="shared" si="224"/>
        <v>54323</v>
      </c>
      <c r="H188" s="91">
        <f t="shared" si="224"/>
        <v>203763</v>
      </c>
      <c r="I188" s="91">
        <f t="shared" si="224"/>
        <v>18396</v>
      </c>
      <c r="J188" s="91">
        <f t="shared" si="224"/>
        <v>0</v>
      </c>
      <c r="K188" s="91">
        <f t="shared" si="224"/>
        <v>0</v>
      </c>
      <c r="L188" s="91">
        <f t="shared" si="224"/>
        <v>-8584</v>
      </c>
      <c r="M188" s="91">
        <f t="shared" si="224"/>
        <v>195179</v>
      </c>
      <c r="N188" s="91">
        <f t="shared" si="224"/>
        <v>9812</v>
      </c>
      <c r="O188" s="91">
        <f t="shared" si="224"/>
        <v>0</v>
      </c>
      <c r="P188" s="91"/>
      <c r="Q188" s="91">
        <f t="shared" si="224"/>
        <v>0</v>
      </c>
      <c r="R188" s="91">
        <f t="shared" si="224"/>
        <v>0</v>
      </c>
      <c r="S188" s="91">
        <f t="shared" si="224"/>
        <v>195179</v>
      </c>
      <c r="T188" s="91">
        <f t="shared" si="224"/>
        <v>9812</v>
      </c>
      <c r="U188" s="91">
        <f t="shared" si="224"/>
        <v>0</v>
      </c>
      <c r="V188" s="91">
        <f t="shared" si="224"/>
        <v>0</v>
      </c>
      <c r="W188" s="91">
        <f t="shared" si="224"/>
        <v>0</v>
      </c>
      <c r="X188" s="91">
        <f t="shared" si="224"/>
        <v>0</v>
      </c>
      <c r="Y188" s="91">
        <f t="shared" si="224"/>
        <v>0</v>
      </c>
      <c r="Z188" s="91">
        <f t="shared" si="224"/>
        <v>0</v>
      </c>
      <c r="AA188" s="91">
        <f t="shared" si="224"/>
        <v>-4987</v>
      </c>
      <c r="AB188" s="91">
        <f t="shared" si="224"/>
        <v>190192</v>
      </c>
      <c r="AC188" s="91">
        <f t="shared" si="224"/>
        <v>4825</v>
      </c>
      <c r="AD188" s="91">
        <f aca="true" t="shared" si="225" ref="AD188:AM188">AD189+AD190+AD194+AD192</f>
        <v>0</v>
      </c>
      <c r="AE188" s="91">
        <f t="shared" si="225"/>
        <v>0</v>
      </c>
      <c r="AF188" s="91">
        <f t="shared" si="225"/>
        <v>-31322</v>
      </c>
      <c r="AG188" s="91">
        <f t="shared" si="225"/>
        <v>0</v>
      </c>
      <c r="AH188" s="91">
        <f t="shared" si="225"/>
        <v>0</v>
      </c>
      <c r="AI188" s="91">
        <f t="shared" si="225"/>
        <v>158870</v>
      </c>
      <c r="AJ188" s="91">
        <f t="shared" si="225"/>
        <v>4825</v>
      </c>
      <c r="AK188" s="91">
        <f t="shared" si="225"/>
        <v>30000</v>
      </c>
      <c r="AL188" s="91">
        <f t="shared" si="225"/>
        <v>188870</v>
      </c>
      <c r="AM188" s="91">
        <f t="shared" si="225"/>
        <v>4825</v>
      </c>
      <c r="AN188" s="91">
        <f>AN189+AN190+AN194+AN192+AN198+AN200+AN202</f>
        <v>-12775</v>
      </c>
      <c r="AO188" s="91">
        <f>AO189+AO190+AO194+AO192+AO198+AO200+AO202</f>
        <v>0</v>
      </c>
      <c r="AP188" s="91">
        <f>AP189+AP190+AP194+AP192+AP198+AP200+AP202</f>
        <v>0</v>
      </c>
      <c r="AQ188" s="91">
        <f>AQ189+AQ190+AQ194+AQ192+AQ198+AQ200+AQ202</f>
        <v>0</v>
      </c>
      <c r="AR188" s="91">
        <f>AR189+AR190+AR194+AR192+AR198+AR200+AR202</f>
        <v>176095</v>
      </c>
      <c r="AS188" s="91">
        <f>AS189+AS190+AS194+AS192+AS198+AS200</f>
        <v>4825</v>
      </c>
      <c r="AT188" s="92">
        <f>AT189+AT190+AT194+AT192+AT198+AT200+AT202</f>
        <v>0</v>
      </c>
      <c r="AU188" s="92">
        <f>AU189+AU190+AU194+AU192+AU198+AU200+AU202</f>
        <v>0</v>
      </c>
      <c r="AV188" s="92">
        <f>AV189+AV190+AV194+AV192+AV198+AV200+AV202</f>
        <v>0</v>
      </c>
      <c r="AW188" s="92">
        <f>AW189+AW190+AW194+AW192+AW198+AW200+AW202</f>
        <v>176095</v>
      </c>
      <c r="AX188" s="92">
        <f>AX189+AX190+AX194+AX192+AX198+AX200+AX202</f>
        <v>4825</v>
      </c>
      <c r="AY188" s="91">
        <f aca="true" t="shared" si="226" ref="AY188:BV188">AY189+AY190+AY194+AY192+AY198+AY200+AY202+AY204</f>
        <v>-15848</v>
      </c>
      <c r="AZ188" s="91">
        <f t="shared" si="226"/>
        <v>1900</v>
      </c>
      <c r="BA188" s="91">
        <f t="shared" si="226"/>
        <v>0</v>
      </c>
      <c r="BB188" s="91">
        <f t="shared" si="226"/>
        <v>3727</v>
      </c>
      <c r="BC188" s="91">
        <f t="shared" si="226"/>
        <v>94033</v>
      </c>
      <c r="BD188" s="91">
        <f t="shared" si="226"/>
        <v>259907</v>
      </c>
      <c r="BE188" s="91">
        <f t="shared" si="226"/>
        <v>98858</v>
      </c>
      <c r="BF188" s="91">
        <f t="shared" si="226"/>
        <v>0</v>
      </c>
      <c r="BG188" s="91">
        <f t="shared" si="226"/>
        <v>0</v>
      </c>
      <c r="BH188" s="91">
        <f t="shared" si="226"/>
        <v>0</v>
      </c>
      <c r="BI188" s="91">
        <f t="shared" si="226"/>
        <v>259907</v>
      </c>
      <c r="BJ188" s="91">
        <f t="shared" si="226"/>
        <v>98858</v>
      </c>
      <c r="BK188" s="91">
        <f t="shared" si="226"/>
        <v>0</v>
      </c>
      <c r="BL188" s="91">
        <f t="shared" si="226"/>
        <v>0</v>
      </c>
      <c r="BM188" s="91">
        <f t="shared" si="226"/>
        <v>21404</v>
      </c>
      <c r="BN188" s="91">
        <f t="shared" si="226"/>
        <v>0</v>
      </c>
      <c r="BO188" s="91">
        <f t="shared" si="226"/>
        <v>281311</v>
      </c>
      <c r="BP188" s="91">
        <f t="shared" si="226"/>
        <v>98858</v>
      </c>
      <c r="BQ188" s="91">
        <f t="shared" si="226"/>
        <v>-2390</v>
      </c>
      <c r="BR188" s="91"/>
      <c r="BS188" s="91">
        <f t="shared" si="226"/>
        <v>0</v>
      </c>
      <c r="BT188" s="91">
        <f t="shared" si="226"/>
        <v>0</v>
      </c>
      <c r="BU188" s="91">
        <f t="shared" si="226"/>
        <v>278921</v>
      </c>
      <c r="BV188" s="91">
        <f t="shared" si="226"/>
        <v>98858</v>
      </c>
      <c r="BW188" s="91">
        <f>BW189+BW190+BW194+BW192+BW198+BW200+BW202+BW204</f>
        <v>267281</v>
      </c>
      <c r="BX188" s="91">
        <f>BX189+BX190+BX194+BX192+BX198+BX200+BX202+BX204</f>
        <v>98858</v>
      </c>
      <c r="BY188" s="77">
        <f t="shared" si="177"/>
        <v>95.82677532347869</v>
      </c>
      <c r="BZ188" s="77">
        <f t="shared" si="177"/>
        <v>100</v>
      </c>
    </row>
    <row r="189" spans="1:78" s="16" customFormat="1" ht="73.5" customHeight="1" hidden="1">
      <c r="A189" s="143" t="s">
        <v>138</v>
      </c>
      <c r="B189" s="89" t="s">
        <v>160</v>
      </c>
      <c r="C189" s="89" t="s">
        <v>128</v>
      </c>
      <c r="D189" s="90" t="s">
        <v>161</v>
      </c>
      <c r="E189" s="89" t="s">
        <v>139</v>
      </c>
      <c r="F189" s="75">
        <v>85279</v>
      </c>
      <c r="G189" s="75">
        <f>H189-F189</f>
        <v>50917</v>
      </c>
      <c r="H189" s="75">
        <v>136196</v>
      </c>
      <c r="I189" s="75">
        <v>18396</v>
      </c>
      <c r="J189" s="94"/>
      <c r="K189" s="94"/>
      <c r="L189" s="75">
        <v>-8584</v>
      </c>
      <c r="M189" s="75">
        <f>H189+J189+K189+L189</f>
        <v>127612</v>
      </c>
      <c r="N189" s="75">
        <f>I189+L189</f>
        <v>9812</v>
      </c>
      <c r="O189" s="94"/>
      <c r="P189" s="94"/>
      <c r="Q189" s="94"/>
      <c r="R189" s="94"/>
      <c r="S189" s="75">
        <f>M189+O189+P189+Q189+R189</f>
        <v>127612</v>
      </c>
      <c r="T189" s="75">
        <f>N189+R189</f>
        <v>9812</v>
      </c>
      <c r="U189" s="94"/>
      <c r="V189" s="94"/>
      <c r="W189" s="94"/>
      <c r="X189" s="94"/>
      <c r="Y189" s="94"/>
      <c r="Z189" s="94"/>
      <c r="AA189" s="75">
        <v>-4987</v>
      </c>
      <c r="AB189" s="75">
        <f>S189+U189+V189+W189+X189+Y189+Z189+AA189</f>
        <v>122625</v>
      </c>
      <c r="AC189" s="75">
        <f>T189+Z189+AA189</f>
        <v>4825</v>
      </c>
      <c r="AD189" s="94"/>
      <c r="AE189" s="94"/>
      <c r="AF189" s="75">
        <f>-20892-8859</f>
        <v>-29751</v>
      </c>
      <c r="AG189" s="94"/>
      <c r="AH189" s="94"/>
      <c r="AI189" s="75">
        <f>AB189+AD189+AE189+AF189+AG189+AH189</f>
        <v>92874</v>
      </c>
      <c r="AJ189" s="75">
        <f>AC189+AH189</f>
        <v>4825</v>
      </c>
      <c r="AK189" s="94"/>
      <c r="AL189" s="75">
        <f>AI189+AK189</f>
        <v>92874</v>
      </c>
      <c r="AM189" s="75">
        <f>AJ189</f>
        <v>4825</v>
      </c>
      <c r="AN189" s="75">
        <f>-13250-11669+475</f>
        <v>-24444</v>
      </c>
      <c r="AO189" s="75"/>
      <c r="AP189" s="94"/>
      <c r="AQ189" s="78">
        <v>-600</v>
      </c>
      <c r="AR189" s="75">
        <f>AL189+AN189+AO189+AP189+AQ189</f>
        <v>67830</v>
      </c>
      <c r="AS189" s="75">
        <f>AM189+AQ189</f>
        <v>4225</v>
      </c>
      <c r="AT189" s="81"/>
      <c r="AU189" s="81"/>
      <c r="AV189" s="81"/>
      <c r="AW189" s="76">
        <f>AV189+AU189+AT189+AR189</f>
        <v>67830</v>
      </c>
      <c r="AX189" s="76">
        <f>AV189+AS189</f>
        <v>4225</v>
      </c>
      <c r="AY189" s="75">
        <v>-7418</v>
      </c>
      <c r="AZ189" s="75">
        <v>-4590</v>
      </c>
      <c r="BA189" s="75"/>
      <c r="BB189" s="75"/>
      <c r="BC189" s="96"/>
      <c r="BD189" s="75">
        <f>AW189+AY189+AZ189+BA189+BB189+BC189</f>
        <v>55822</v>
      </c>
      <c r="BE189" s="75">
        <f>AX189+BC189</f>
        <v>4225</v>
      </c>
      <c r="BF189" s="94"/>
      <c r="BG189" s="94"/>
      <c r="BH189" s="94"/>
      <c r="BI189" s="75">
        <f>BD189+BF189+BG189+BH189</f>
        <v>55822</v>
      </c>
      <c r="BJ189" s="75">
        <f>BE189+BH189</f>
        <v>4225</v>
      </c>
      <c r="BK189" s="98"/>
      <c r="BL189" s="98"/>
      <c r="BM189" s="78">
        <v>360</v>
      </c>
      <c r="BN189" s="98"/>
      <c r="BO189" s="75">
        <f>BI189+BK189+BL189+BM189+BN189</f>
        <v>56182</v>
      </c>
      <c r="BP189" s="75">
        <f>BJ189+BN189</f>
        <v>4225</v>
      </c>
      <c r="BQ189" s="75">
        <v>-2390</v>
      </c>
      <c r="BR189" s="75"/>
      <c r="BS189" s="94"/>
      <c r="BT189" s="94"/>
      <c r="BU189" s="75">
        <f>BO189+BQ189+BS189+BT189</f>
        <v>53792</v>
      </c>
      <c r="BV189" s="75">
        <f>BP189+BT189</f>
        <v>4225</v>
      </c>
      <c r="BW189" s="75">
        <v>52929</v>
      </c>
      <c r="BX189" s="75">
        <v>4225</v>
      </c>
      <c r="BY189" s="77">
        <f t="shared" si="177"/>
        <v>98.39567221891731</v>
      </c>
      <c r="BZ189" s="77">
        <f t="shared" si="177"/>
        <v>100</v>
      </c>
    </row>
    <row r="190" spans="1:78" s="16" customFormat="1" ht="48" customHeight="1" hidden="1">
      <c r="A190" s="143" t="s">
        <v>192</v>
      </c>
      <c r="B190" s="89" t="s">
        <v>160</v>
      </c>
      <c r="C190" s="89" t="s">
        <v>128</v>
      </c>
      <c r="D190" s="90" t="s">
        <v>193</v>
      </c>
      <c r="E190" s="67"/>
      <c r="F190" s="91">
        <f>F191</f>
        <v>63821</v>
      </c>
      <c r="G190" s="91">
        <f>G191</f>
        <v>3746</v>
      </c>
      <c r="H190" s="91">
        <f>H191</f>
        <v>67567</v>
      </c>
      <c r="I190" s="91">
        <f aca="true" t="shared" si="227" ref="I190:BW190">I191</f>
        <v>0</v>
      </c>
      <c r="J190" s="91">
        <f t="shared" si="227"/>
        <v>0</v>
      </c>
      <c r="K190" s="91">
        <f t="shared" si="227"/>
        <v>0</v>
      </c>
      <c r="L190" s="91">
        <f t="shared" si="227"/>
        <v>0</v>
      </c>
      <c r="M190" s="91">
        <f t="shared" si="227"/>
        <v>67567</v>
      </c>
      <c r="N190" s="91">
        <f t="shared" si="227"/>
        <v>0</v>
      </c>
      <c r="O190" s="91">
        <f t="shared" si="227"/>
        <v>0</v>
      </c>
      <c r="P190" s="91"/>
      <c r="Q190" s="91">
        <f t="shared" si="227"/>
        <v>0</v>
      </c>
      <c r="R190" s="91">
        <f t="shared" si="227"/>
        <v>0</v>
      </c>
      <c r="S190" s="91">
        <f t="shared" si="227"/>
        <v>67567</v>
      </c>
      <c r="T190" s="91">
        <f t="shared" si="227"/>
        <v>0</v>
      </c>
      <c r="U190" s="91">
        <f t="shared" si="227"/>
        <v>0</v>
      </c>
      <c r="V190" s="91">
        <f t="shared" si="227"/>
        <v>0</v>
      </c>
      <c r="W190" s="91">
        <f t="shared" si="227"/>
        <v>0</v>
      </c>
      <c r="X190" s="91">
        <f t="shared" si="227"/>
        <v>0</v>
      </c>
      <c r="Y190" s="91">
        <f t="shared" si="227"/>
        <v>0</v>
      </c>
      <c r="Z190" s="91">
        <f t="shared" si="227"/>
        <v>0</v>
      </c>
      <c r="AA190" s="91">
        <f t="shared" si="227"/>
        <v>0</v>
      </c>
      <c r="AB190" s="91">
        <f t="shared" si="227"/>
        <v>67567</v>
      </c>
      <c r="AC190" s="91">
        <f t="shared" si="227"/>
        <v>0</v>
      </c>
      <c r="AD190" s="91">
        <f t="shared" si="227"/>
        <v>0</v>
      </c>
      <c r="AE190" s="91">
        <f t="shared" si="227"/>
        <v>0</v>
      </c>
      <c r="AF190" s="91">
        <f t="shared" si="227"/>
        <v>-1571</v>
      </c>
      <c r="AG190" s="91">
        <f t="shared" si="227"/>
        <v>0</v>
      </c>
      <c r="AH190" s="91">
        <f t="shared" si="227"/>
        <v>0</v>
      </c>
      <c r="AI190" s="91">
        <f t="shared" si="227"/>
        <v>65996</v>
      </c>
      <c r="AJ190" s="91">
        <f t="shared" si="227"/>
        <v>0</v>
      </c>
      <c r="AK190" s="91">
        <f t="shared" si="227"/>
        <v>0</v>
      </c>
      <c r="AL190" s="91">
        <f t="shared" si="227"/>
        <v>65996</v>
      </c>
      <c r="AM190" s="91">
        <f t="shared" si="227"/>
        <v>0</v>
      </c>
      <c r="AN190" s="91">
        <f t="shared" si="227"/>
        <v>0</v>
      </c>
      <c r="AO190" s="91">
        <f t="shared" si="227"/>
        <v>0</v>
      </c>
      <c r="AP190" s="91">
        <f t="shared" si="227"/>
        <v>0</v>
      </c>
      <c r="AQ190" s="91">
        <f t="shared" si="227"/>
        <v>0</v>
      </c>
      <c r="AR190" s="91">
        <f t="shared" si="227"/>
        <v>65996</v>
      </c>
      <c r="AS190" s="91">
        <f t="shared" si="227"/>
        <v>0</v>
      </c>
      <c r="AT190" s="92">
        <f t="shared" si="227"/>
        <v>0</v>
      </c>
      <c r="AU190" s="92">
        <f t="shared" si="227"/>
        <v>0</v>
      </c>
      <c r="AV190" s="92">
        <f t="shared" si="227"/>
        <v>0</v>
      </c>
      <c r="AW190" s="92">
        <f t="shared" si="227"/>
        <v>65996</v>
      </c>
      <c r="AX190" s="92">
        <f t="shared" si="227"/>
        <v>0</v>
      </c>
      <c r="AY190" s="91">
        <f t="shared" si="227"/>
        <v>0</v>
      </c>
      <c r="AZ190" s="91">
        <f t="shared" si="227"/>
        <v>1888</v>
      </c>
      <c r="BA190" s="91">
        <f t="shared" si="227"/>
        <v>0</v>
      </c>
      <c r="BB190" s="91">
        <f t="shared" si="227"/>
        <v>0</v>
      </c>
      <c r="BC190" s="91">
        <f t="shared" si="227"/>
        <v>0</v>
      </c>
      <c r="BD190" s="91">
        <f t="shared" si="227"/>
        <v>67884</v>
      </c>
      <c r="BE190" s="91">
        <f t="shared" si="227"/>
        <v>0</v>
      </c>
      <c r="BF190" s="91">
        <f t="shared" si="227"/>
        <v>0</v>
      </c>
      <c r="BG190" s="91">
        <f t="shared" si="227"/>
        <v>0</v>
      </c>
      <c r="BH190" s="91">
        <f t="shared" si="227"/>
        <v>0</v>
      </c>
      <c r="BI190" s="91">
        <f t="shared" si="227"/>
        <v>67884</v>
      </c>
      <c r="BJ190" s="91">
        <f t="shared" si="227"/>
        <v>0</v>
      </c>
      <c r="BK190" s="91">
        <f t="shared" si="227"/>
        <v>0</v>
      </c>
      <c r="BL190" s="91">
        <f t="shared" si="227"/>
        <v>0</v>
      </c>
      <c r="BM190" s="91">
        <f t="shared" si="227"/>
        <v>0</v>
      </c>
      <c r="BN190" s="91">
        <f t="shared" si="227"/>
        <v>0</v>
      </c>
      <c r="BO190" s="91">
        <f t="shared" si="227"/>
        <v>67884</v>
      </c>
      <c r="BP190" s="91">
        <f t="shared" si="227"/>
        <v>0</v>
      </c>
      <c r="BQ190" s="91">
        <f t="shared" si="227"/>
        <v>0</v>
      </c>
      <c r="BR190" s="91"/>
      <c r="BS190" s="91">
        <f t="shared" si="227"/>
        <v>0</v>
      </c>
      <c r="BT190" s="91">
        <f t="shared" si="227"/>
        <v>0</v>
      </c>
      <c r="BU190" s="91">
        <f t="shared" si="227"/>
        <v>67884</v>
      </c>
      <c r="BV190" s="91">
        <f>BV191</f>
        <v>0</v>
      </c>
      <c r="BW190" s="91">
        <f t="shared" si="227"/>
        <v>57107</v>
      </c>
      <c r="BX190" s="91">
        <f>BX191</f>
        <v>0</v>
      </c>
      <c r="BY190" s="77">
        <f t="shared" si="177"/>
        <v>84.12438866301338</v>
      </c>
      <c r="BZ190" s="77"/>
    </row>
    <row r="191" spans="1:78" s="16" customFormat="1" ht="89.25" customHeight="1" hidden="1">
      <c r="A191" s="88" t="s">
        <v>359</v>
      </c>
      <c r="B191" s="89" t="s">
        <v>160</v>
      </c>
      <c r="C191" s="89" t="s">
        <v>128</v>
      </c>
      <c r="D191" s="90" t="s">
        <v>193</v>
      </c>
      <c r="E191" s="89" t="s">
        <v>145</v>
      </c>
      <c r="F191" s="75">
        <v>63821</v>
      </c>
      <c r="G191" s="75">
        <f>H191-F191</f>
        <v>3746</v>
      </c>
      <c r="H191" s="75">
        <v>67567</v>
      </c>
      <c r="I191" s="94"/>
      <c r="J191" s="94"/>
      <c r="K191" s="94"/>
      <c r="L191" s="94"/>
      <c r="M191" s="75">
        <f>H191+J191+K191+L191</f>
        <v>67567</v>
      </c>
      <c r="N191" s="78">
        <f>I191+L191</f>
        <v>0</v>
      </c>
      <c r="O191" s="94"/>
      <c r="P191" s="94"/>
      <c r="Q191" s="94"/>
      <c r="R191" s="94"/>
      <c r="S191" s="75">
        <f>M191+O191+P191+Q191+R191</f>
        <v>67567</v>
      </c>
      <c r="T191" s="75">
        <f>N191+R191</f>
        <v>0</v>
      </c>
      <c r="U191" s="94"/>
      <c r="V191" s="94"/>
      <c r="W191" s="94"/>
      <c r="X191" s="94"/>
      <c r="Y191" s="94"/>
      <c r="Z191" s="94"/>
      <c r="AA191" s="94"/>
      <c r="AB191" s="75">
        <f>S191+U191+V191+W191+X191+Y191+Z191+AA191</f>
        <v>67567</v>
      </c>
      <c r="AC191" s="75">
        <f>T191+Z191+AA191</f>
        <v>0</v>
      </c>
      <c r="AD191" s="94"/>
      <c r="AE191" s="94"/>
      <c r="AF191" s="75">
        <v>-1571</v>
      </c>
      <c r="AG191" s="94"/>
      <c r="AH191" s="94"/>
      <c r="AI191" s="75">
        <f>AB191+AD191+AE191+AF191+AG191+AH191</f>
        <v>65996</v>
      </c>
      <c r="AJ191" s="75">
        <f>AC191+AH191</f>
        <v>0</v>
      </c>
      <c r="AK191" s="94"/>
      <c r="AL191" s="75">
        <f>AI191+AK191</f>
        <v>65996</v>
      </c>
      <c r="AM191" s="75">
        <f>AJ191</f>
        <v>0</v>
      </c>
      <c r="AN191" s="94"/>
      <c r="AO191" s="94"/>
      <c r="AP191" s="94"/>
      <c r="AQ191" s="94"/>
      <c r="AR191" s="75">
        <f>AL191+AN191+AO191+AP191+AQ191</f>
        <v>65996</v>
      </c>
      <c r="AS191" s="75">
        <f>AM191+AQ191</f>
        <v>0</v>
      </c>
      <c r="AT191" s="97"/>
      <c r="AU191" s="97"/>
      <c r="AV191" s="97"/>
      <c r="AW191" s="76">
        <f>AV191+AU191+AT191+AR191</f>
        <v>65996</v>
      </c>
      <c r="AX191" s="76">
        <f>AV191+AS191</f>
        <v>0</v>
      </c>
      <c r="AY191" s="96"/>
      <c r="AZ191" s="75">
        <v>1888</v>
      </c>
      <c r="BA191" s="75"/>
      <c r="BB191" s="75"/>
      <c r="BC191" s="96"/>
      <c r="BD191" s="75">
        <f>AW191+AY191+AZ191+BA191+BB191+BC191</f>
        <v>67884</v>
      </c>
      <c r="BE191" s="75">
        <f>AX191+BC191</f>
        <v>0</v>
      </c>
      <c r="BF191" s="94"/>
      <c r="BG191" s="94"/>
      <c r="BH191" s="94"/>
      <c r="BI191" s="75">
        <f>BD191+BF191+BG191+BH191</f>
        <v>67884</v>
      </c>
      <c r="BJ191" s="75">
        <f>BE191+BH191</f>
        <v>0</v>
      </c>
      <c r="BK191" s="98"/>
      <c r="BL191" s="98"/>
      <c r="BM191" s="98"/>
      <c r="BN191" s="98"/>
      <c r="BO191" s="75">
        <f>BI191+BK191+BL191+BM191+BN191</f>
        <v>67884</v>
      </c>
      <c r="BP191" s="75">
        <f>BJ191+BN191</f>
        <v>0</v>
      </c>
      <c r="BQ191" s="94"/>
      <c r="BR191" s="94"/>
      <c r="BS191" s="94"/>
      <c r="BT191" s="94"/>
      <c r="BU191" s="75">
        <f>BO191+BQ191+BS191+BT191</f>
        <v>67884</v>
      </c>
      <c r="BV191" s="75">
        <f>BP191+BT191</f>
        <v>0</v>
      </c>
      <c r="BW191" s="75">
        <v>57107</v>
      </c>
      <c r="BX191" s="75">
        <f>BR191+BV191</f>
        <v>0</v>
      </c>
      <c r="BY191" s="77">
        <f t="shared" si="177"/>
        <v>84.12438866301338</v>
      </c>
      <c r="BZ191" s="77"/>
    </row>
    <row r="192" spans="1:78" s="16" customFormat="1" ht="112.5" customHeight="1" hidden="1">
      <c r="A192" s="143" t="s">
        <v>321</v>
      </c>
      <c r="B192" s="89" t="s">
        <v>160</v>
      </c>
      <c r="C192" s="89" t="s">
        <v>128</v>
      </c>
      <c r="D192" s="90" t="s">
        <v>320</v>
      </c>
      <c r="E192" s="89"/>
      <c r="F192" s="75"/>
      <c r="G192" s="75"/>
      <c r="H192" s="75"/>
      <c r="I192" s="94"/>
      <c r="J192" s="94"/>
      <c r="K192" s="94"/>
      <c r="L192" s="94"/>
      <c r="M192" s="75"/>
      <c r="N192" s="78"/>
      <c r="O192" s="94"/>
      <c r="P192" s="94"/>
      <c r="Q192" s="94"/>
      <c r="R192" s="94"/>
      <c r="S192" s="75"/>
      <c r="T192" s="75"/>
      <c r="U192" s="94"/>
      <c r="V192" s="94"/>
      <c r="W192" s="94"/>
      <c r="X192" s="94"/>
      <c r="Y192" s="94"/>
      <c r="Z192" s="94"/>
      <c r="AA192" s="94"/>
      <c r="AB192" s="75"/>
      <c r="AC192" s="75"/>
      <c r="AD192" s="94">
        <f aca="true" t="shared" si="228" ref="AD192:BX192">AD193</f>
        <v>0</v>
      </c>
      <c r="AE192" s="94">
        <f t="shared" si="228"/>
        <v>0</v>
      </c>
      <c r="AF192" s="75">
        <f t="shared" si="228"/>
        <v>0</v>
      </c>
      <c r="AG192" s="94">
        <f t="shared" si="228"/>
        <v>0</v>
      </c>
      <c r="AH192" s="94">
        <f t="shared" si="228"/>
        <v>0</v>
      </c>
      <c r="AI192" s="75">
        <f t="shared" si="228"/>
        <v>0</v>
      </c>
      <c r="AJ192" s="75">
        <f t="shared" si="228"/>
        <v>0</v>
      </c>
      <c r="AK192" s="75">
        <f t="shared" si="228"/>
        <v>30000</v>
      </c>
      <c r="AL192" s="75">
        <f t="shared" si="228"/>
        <v>30000</v>
      </c>
      <c r="AM192" s="75">
        <f t="shared" si="228"/>
        <v>0</v>
      </c>
      <c r="AN192" s="75">
        <f t="shared" si="228"/>
        <v>0</v>
      </c>
      <c r="AO192" s="75">
        <f t="shared" si="228"/>
        <v>0</v>
      </c>
      <c r="AP192" s="75">
        <f t="shared" si="228"/>
        <v>0</v>
      </c>
      <c r="AQ192" s="75">
        <f t="shared" si="228"/>
        <v>0</v>
      </c>
      <c r="AR192" s="75">
        <f t="shared" si="228"/>
        <v>30000</v>
      </c>
      <c r="AS192" s="75">
        <f t="shared" si="228"/>
        <v>0</v>
      </c>
      <c r="AT192" s="76">
        <f t="shared" si="228"/>
        <v>0</v>
      </c>
      <c r="AU192" s="76">
        <f t="shared" si="228"/>
        <v>0</v>
      </c>
      <c r="AV192" s="76">
        <f t="shared" si="228"/>
        <v>0</v>
      </c>
      <c r="AW192" s="76">
        <f t="shared" si="228"/>
        <v>30000</v>
      </c>
      <c r="AX192" s="76">
        <f t="shared" si="228"/>
        <v>0</v>
      </c>
      <c r="AY192" s="75">
        <f t="shared" si="228"/>
        <v>0</v>
      </c>
      <c r="AZ192" s="75">
        <f t="shared" si="228"/>
        <v>0</v>
      </c>
      <c r="BA192" s="75">
        <f t="shared" si="228"/>
        <v>0</v>
      </c>
      <c r="BB192" s="75">
        <f t="shared" si="228"/>
        <v>0</v>
      </c>
      <c r="BC192" s="75">
        <f t="shared" si="228"/>
        <v>0</v>
      </c>
      <c r="BD192" s="75">
        <f t="shared" si="228"/>
        <v>30000</v>
      </c>
      <c r="BE192" s="75">
        <f t="shared" si="228"/>
        <v>0</v>
      </c>
      <c r="BF192" s="75">
        <f t="shared" si="228"/>
        <v>0</v>
      </c>
      <c r="BG192" s="75">
        <f t="shared" si="228"/>
        <v>0</v>
      </c>
      <c r="BH192" s="75">
        <f t="shared" si="228"/>
        <v>0</v>
      </c>
      <c r="BI192" s="75">
        <f t="shared" si="228"/>
        <v>30000</v>
      </c>
      <c r="BJ192" s="75">
        <f t="shared" si="228"/>
        <v>0</v>
      </c>
      <c r="BK192" s="75">
        <f t="shared" si="228"/>
        <v>0</v>
      </c>
      <c r="BL192" s="75">
        <f t="shared" si="228"/>
        <v>0</v>
      </c>
      <c r="BM192" s="75">
        <f t="shared" si="228"/>
        <v>21404</v>
      </c>
      <c r="BN192" s="75">
        <f t="shared" si="228"/>
        <v>0</v>
      </c>
      <c r="BO192" s="75">
        <f t="shared" si="228"/>
        <v>51404</v>
      </c>
      <c r="BP192" s="75">
        <f t="shared" si="228"/>
        <v>0</v>
      </c>
      <c r="BQ192" s="75">
        <f t="shared" si="228"/>
        <v>0</v>
      </c>
      <c r="BR192" s="75"/>
      <c r="BS192" s="75">
        <f t="shared" si="228"/>
        <v>0</v>
      </c>
      <c r="BT192" s="75">
        <f t="shared" si="228"/>
        <v>0</v>
      </c>
      <c r="BU192" s="75">
        <f t="shared" si="228"/>
        <v>51404</v>
      </c>
      <c r="BV192" s="75">
        <f t="shared" si="228"/>
        <v>0</v>
      </c>
      <c r="BW192" s="75">
        <f t="shared" si="228"/>
        <v>51404</v>
      </c>
      <c r="BX192" s="75">
        <f t="shared" si="228"/>
        <v>0</v>
      </c>
      <c r="BY192" s="77">
        <f t="shared" si="177"/>
        <v>100</v>
      </c>
      <c r="BZ192" s="77"/>
    </row>
    <row r="193" spans="1:78" s="16" customFormat="1" ht="89.25" customHeight="1" hidden="1">
      <c r="A193" s="88" t="s">
        <v>359</v>
      </c>
      <c r="B193" s="89" t="s">
        <v>160</v>
      </c>
      <c r="C193" s="89" t="s">
        <v>128</v>
      </c>
      <c r="D193" s="90" t="s">
        <v>320</v>
      </c>
      <c r="E193" s="89" t="s">
        <v>145</v>
      </c>
      <c r="F193" s="75"/>
      <c r="G193" s="75"/>
      <c r="H193" s="75"/>
      <c r="I193" s="94"/>
      <c r="J193" s="94"/>
      <c r="K193" s="94"/>
      <c r="L193" s="94"/>
      <c r="M193" s="75"/>
      <c r="N193" s="78"/>
      <c r="O193" s="94"/>
      <c r="P193" s="94"/>
      <c r="Q193" s="94"/>
      <c r="R193" s="94"/>
      <c r="S193" s="75"/>
      <c r="T193" s="75"/>
      <c r="U193" s="94"/>
      <c r="V193" s="94"/>
      <c r="W193" s="94"/>
      <c r="X193" s="94"/>
      <c r="Y193" s="94"/>
      <c r="Z193" s="94"/>
      <c r="AA193" s="94"/>
      <c r="AB193" s="75"/>
      <c r="AC193" s="75"/>
      <c r="AD193" s="94"/>
      <c r="AE193" s="94"/>
      <c r="AF193" s="75"/>
      <c r="AG193" s="94"/>
      <c r="AH193" s="94"/>
      <c r="AI193" s="75">
        <f>AB193+AD193+AE193+AF193+AG193+AH193</f>
        <v>0</v>
      </c>
      <c r="AJ193" s="75">
        <f>AC193+AH193</f>
        <v>0</v>
      </c>
      <c r="AK193" s="75">
        <v>30000</v>
      </c>
      <c r="AL193" s="75">
        <f>AI193+AK193</f>
        <v>30000</v>
      </c>
      <c r="AM193" s="75">
        <f>AJ193</f>
        <v>0</v>
      </c>
      <c r="AN193" s="94"/>
      <c r="AO193" s="94"/>
      <c r="AP193" s="94"/>
      <c r="AQ193" s="94"/>
      <c r="AR193" s="75">
        <f>AL193+AN193+AO193+AP193+AQ193</f>
        <v>30000</v>
      </c>
      <c r="AS193" s="75">
        <f>AM193+AQ193</f>
        <v>0</v>
      </c>
      <c r="AT193" s="97"/>
      <c r="AU193" s="97"/>
      <c r="AV193" s="97"/>
      <c r="AW193" s="76">
        <f>AV193+AU193+AT193+AR193</f>
        <v>30000</v>
      </c>
      <c r="AX193" s="76">
        <f>AV193+AS193</f>
        <v>0</v>
      </c>
      <c r="AY193" s="96"/>
      <c r="AZ193" s="96"/>
      <c r="BA193" s="96"/>
      <c r="BB193" s="96"/>
      <c r="BC193" s="96"/>
      <c r="BD193" s="75">
        <f>AW193+AY193+AZ193+BA193+BB193+BC193</f>
        <v>30000</v>
      </c>
      <c r="BE193" s="75">
        <f>AX193+BC193</f>
        <v>0</v>
      </c>
      <c r="BF193" s="94"/>
      <c r="BG193" s="94"/>
      <c r="BH193" s="94"/>
      <c r="BI193" s="75">
        <f>BD193+BF193+BG193+BH193</f>
        <v>30000</v>
      </c>
      <c r="BJ193" s="75">
        <f>BE193+BH193</f>
        <v>0</v>
      </c>
      <c r="BK193" s="98"/>
      <c r="BL193" s="98"/>
      <c r="BM193" s="75">
        <v>21404</v>
      </c>
      <c r="BN193" s="98"/>
      <c r="BO193" s="75">
        <f>BI193+BK193+BL193+BM193+BN193</f>
        <v>51404</v>
      </c>
      <c r="BP193" s="75">
        <f>BJ193+BN193</f>
        <v>0</v>
      </c>
      <c r="BQ193" s="94"/>
      <c r="BR193" s="94"/>
      <c r="BS193" s="94"/>
      <c r="BT193" s="94"/>
      <c r="BU193" s="75">
        <f>BO193+BQ193+BS193+BT193</f>
        <v>51404</v>
      </c>
      <c r="BV193" s="75">
        <f>BP193+BT193</f>
        <v>0</v>
      </c>
      <c r="BW193" s="75">
        <v>51404</v>
      </c>
      <c r="BX193" s="75">
        <f>BR193+BV193</f>
        <v>0</v>
      </c>
      <c r="BY193" s="77">
        <f t="shared" si="177"/>
        <v>100</v>
      </c>
      <c r="BZ193" s="72"/>
    </row>
    <row r="194" spans="1:78" s="16" customFormat="1" ht="38.25" customHeight="1" hidden="1">
      <c r="A194" s="143" t="s">
        <v>218</v>
      </c>
      <c r="B194" s="89" t="s">
        <v>160</v>
      </c>
      <c r="C194" s="89" t="s">
        <v>128</v>
      </c>
      <c r="D194" s="90" t="s">
        <v>194</v>
      </c>
      <c r="E194" s="89"/>
      <c r="F194" s="91">
        <f>F195</f>
        <v>340</v>
      </c>
      <c r="G194" s="91">
        <f>G195</f>
        <v>-340</v>
      </c>
      <c r="H194" s="91">
        <f aca="true" t="shared" si="229" ref="H194:N194">H195</f>
        <v>0</v>
      </c>
      <c r="I194" s="91">
        <f t="shared" si="229"/>
        <v>0</v>
      </c>
      <c r="J194" s="91">
        <f t="shared" si="229"/>
        <v>0</v>
      </c>
      <c r="K194" s="91">
        <f t="shared" si="229"/>
        <v>0</v>
      </c>
      <c r="L194" s="91">
        <f t="shared" si="229"/>
        <v>0</v>
      </c>
      <c r="M194" s="91">
        <f t="shared" si="229"/>
        <v>0</v>
      </c>
      <c r="N194" s="91">
        <f t="shared" si="229"/>
        <v>0</v>
      </c>
      <c r="O194" s="94"/>
      <c r="P194" s="94"/>
      <c r="Q194" s="94"/>
      <c r="R194" s="94"/>
      <c r="S194" s="96"/>
      <c r="T194" s="96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6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7"/>
      <c r="AU194" s="97"/>
      <c r="AV194" s="97"/>
      <c r="AW194" s="97"/>
      <c r="AX194" s="97"/>
      <c r="AY194" s="96"/>
      <c r="AZ194" s="96"/>
      <c r="BA194" s="96"/>
      <c r="BB194" s="96"/>
      <c r="BC194" s="96"/>
      <c r="BD194" s="98"/>
      <c r="BE194" s="98"/>
      <c r="BF194" s="94"/>
      <c r="BG194" s="94"/>
      <c r="BH194" s="94"/>
      <c r="BI194" s="94"/>
      <c r="BJ194" s="94"/>
      <c r="BK194" s="98"/>
      <c r="BL194" s="98"/>
      <c r="BM194" s="98"/>
      <c r="BN194" s="98"/>
      <c r="BO194" s="98"/>
      <c r="BP194" s="98"/>
      <c r="BQ194" s="94"/>
      <c r="BR194" s="94"/>
      <c r="BS194" s="94"/>
      <c r="BT194" s="94"/>
      <c r="BU194" s="94"/>
      <c r="BV194" s="94"/>
      <c r="BW194" s="94"/>
      <c r="BX194" s="94"/>
      <c r="BY194" s="77" t="e">
        <f t="shared" si="177"/>
        <v>#DIV/0!</v>
      </c>
      <c r="BZ194" s="72" t="e">
        <f aca="true" t="shared" si="230" ref="BZ194:BZ199">BX194/BV194*100</f>
        <v>#DIV/0!</v>
      </c>
    </row>
    <row r="195" spans="1:78" s="16" customFormat="1" ht="124.5" customHeight="1" hidden="1">
      <c r="A195" s="143" t="s">
        <v>403</v>
      </c>
      <c r="B195" s="89" t="s">
        <v>160</v>
      </c>
      <c r="C195" s="89" t="s">
        <v>128</v>
      </c>
      <c r="D195" s="90" t="s">
        <v>194</v>
      </c>
      <c r="E195" s="89" t="s">
        <v>145</v>
      </c>
      <c r="F195" s="75">
        <v>340</v>
      </c>
      <c r="G195" s="75">
        <f>H195-F195</f>
        <v>-340</v>
      </c>
      <c r="H195" s="78">
        <f>349-349</f>
        <v>0</v>
      </c>
      <c r="I195" s="94"/>
      <c r="J195" s="94"/>
      <c r="K195" s="94"/>
      <c r="L195" s="94"/>
      <c r="M195" s="75">
        <f>H195+J195+K195+L195</f>
        <v>0</v>
      </c>
      <c r="N195" s="78">
        <f>I195+L195</f>
        <v>0</v>
      </c>
      <c r="O195" s="94"/>
      <c r="P195" s="94"/>
      <c r="Q195" s="94"/>
      <c r="R195" s="94"/>
      <c r="S195" s="96"/>
      <c r="T195" s="96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6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7"/>
      <c r="AU195" s="97"/>
      <c r="AV195" s="97"/>
      <c r="AW195" s="97"/>
      <c r="AX195" s="97"/>
      <c r="AY195" s="96"/>
      <c r="AZ195" s="96"/>
      <c r="BA195" s="96"/>
      <c r="BB195" s="96"/>
      <c r="BC195" s="96"/>
      <c r="BD195" s="98"/>
      <c r="BE195" s="98"/>
      <c r="BF195" s="94"/>
      <c r="BG195" s="94"/>
      <c r="BH195" s="94"/>
      <c r="BI195" s="94"/>
      <c r="BJ195" s="94"/>
      <c r="BK195" s="98"/>
      <c r="BL195" s="98"/>
      <c r="BM195" s="98"/>
      <c r="BN195" s="98"/>
      <c r="BO195" s="98"/>
      <c r="BP195" s="98"/>
      <c r="BQ195" s="94"/>
      <c r="BR195" s="94"/>
      <c r="BS195" s="94"/>
      <c r="BT195" s="94"/>
      <c r="BU195" s="94"/>
      <c r="BV195" s="94"/>
      <c r="BW195" s="94"/>
      <c r="BX195" s="94"/>
      <c r="BY195" s="77" t="e">
        <f t="shared" si="177"/>
        <v>#DIV/0!</v>
      </c>
      <c r="BZ195" s="72" t="e">
        <f t="shared" si="230"/>
        <v>#DIV/0!</v>
      </c>
    </row>
    <row r="196" spans="1:78" s="16" customFormat="1" ht="21.75" customHeight="1" hidden="1">
      <c r="A196" s="88" t="s">
        <v>214</v>
      </c>
      <c r="B196" s="89" t="s">
        <v>160</v>
      </c>
      <c r="C196" s="89" t="s">
        <v>128</v>
      </c>
      <c r="D196" s="90" t="s">
        <v>213</v>
      </c>
      <c r="E196" s="89"/>
      <c r="F196" s="91">
        <f>F197</f>
        <v>7763</v>
      </c>
      <c r="G196" s="91">
        <f>G197</f>
        <v>-7763</v>
      </c>
      <c r="H196" s="91">
        <f>H197</f>
        <v>0</v>
      </c>
      <c r="I196" s="91">
        <f aca="true" t="shared" si="231" ref="I196:N196">I197</f>
        <v>0</v>
      </c>
      <c r="J196" s="91">
        <f t="shared" si="231"/>
        <v>0</v>
      </c>
      <c r="K196" s="91">
        <f t="shared" si="231"/>
        <v>0</v>
      </c>
      <c r="L196" s="91">
        <f t="shared" si="231"/>
        <v>0</v>
      </c>
      <c r="M196" s="91">
        <f t="shared" si="231"/>
        <v>0</v>
      </c>
      <c r="N196" s="91">
        <f t="shared" si="231"/>
        <v>0</v>
      </c>
      <c r="O196" s="94"/>
      <c r="P196" s="94"/>
      <c r="Q196" s="94"/>
      <c r="R196" s="94"/>
      <c r="S196" s="96"/>
      <c r="T196" s="96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6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7"/>
      <c r="AU196" s="97"/>
      <c r="AV196" s="97"/>
      <c r="AW196" s="97"/>
      <c r="AX196" s="97"/>
      <c r="AY196" s="96"/>
      <c r="AZ196" s="96"/>
      <c r="BA196" s="96"/>
      <c r="BB196" s="96"/>
      <c r="BC196" s="96"/>
      <c r="BD196" s="98"/>
      <c r="BE196" s="98"/>
      <c r="BF196" s="94"/>
      <c r="BG196" s="94"/>
      <c r="BH196" s="94"/>
      <c r="BI196" s="94"/>
      <c r="BJ196" s="94"/>
      <c r="BK196" s="98"/>
      <c r="BL196" s="98"/>
      <c r="BM196" s="98"/>
      <c r="BN196" s="98"/>
      <c r="BO196" s="98"/>
      <c r="BP196" s="98"/>
      <c r="BQ196" s="94"/>
      <c r="BR196" s="94"/>
      <c r="BS196" s="94"/>
      <c r="BT196" s="94"/>
      <c r="BU196" s="94"/>
      <c r="BV196" s="94"/>
      <c r="BW196" s="94"/>
      <c r="BX196" s="94"/>
      <c r="BY196" s="77" t="e">
        <f t="shared" si="177"/>
        <v>#DIV/0!</v>
      </c>
      <c r="BZ196" s="72" t="e">
        <f t="shared" si="230"/>
        <v>#DIV/0!</v>
      </c>
    </row>
    <row r="197" spans="1:78" s="16" customFormat="1" ht="9" customHeight="1" hidden="1">
      <c r="A197" s="88" t="s">
        <v>360</v>
      </c>
      <c r="B197" s="89" t="s">
        <v>160</v>
      </c>
      <c r="C197" s="89" t="s">
        <v>128</v>
      </c>
      <c r="D197" s="90" t="s">
        <v>213</v>
      </c>
      <c r="E197" s="89" t="s">
        <v>153</v>
      </c>
      <c r="F197" s="75">
        <v>7763</v>
      </c>
      <c r="G197" s="75">
        <f>H197-F197</f>
        <v>-7763</v>
      </c>
      <c r="H197" s="75">
        <f>27054-27054</f>
        <v>0</v>
      </c>
      <c r="I197" s="94"/>
      <c r="J197" s="94"/>
      <c r="K197" s="94"/>
      <c r="L197" s="94"/>
      <c r="M197" s="75">
        <f>H197+J197+K197+L197</f>
        <v>0</v>
      </c>
      <c r="N197" s="78">
        <f>I197+L197</f>
        <v>0</v>
      </c>
      <c r="O197" s="94"/>
      <c r="P197" s="94"/>
      <c r="Q197" s="94"/>
      <c r="R197" s="94"/>
      <c r="S197" s="96"/>
      <c r="T197" s="96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6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7"/>
      <c r="AU197" s="97"/>
      <c r="AV197" s="97"/>
      <c r="AW197" s="97"/>
      <c r="AX197" s="97"/>
      <c r="AY197" s="96"/>
      <c r="AZ197" s="96"/>
      <c r="BA197" s="96"/>
      <c r="BB197" s="96"/>
      <c r="BC197" s="96"/>
      <c r="BD197" s="98"/>
      <c r="BE197" s="98"/>
      <c r="BF197" s="94"/>
      <c r="BG197" s="94"/>
      <c r="BH197" s="94"/>
      <c r="BI197" s="94"/>
      <c r="BJ197" s="94"/>
      <c r="BK197" s="98"/>
      <c r="BL197" s="98"/>
      <c r="BM197" s="98"/>
      <c r="BN197" s="98"/>
      <c r="BO197" s="98"/>
      <c r="BP197" s="98"/>
      <c r="BQ197" s="94"/>
      <c r="BR197" s="94"/>
      <c r="BS197" s="94"/>
      <c r="BT197" s="94"/>
      <c r="BU197" s="94"/>
      <c r="BV197" s="94"/>
      <c r="BW197" s="94"/>
      <c r="BX197" s="94"/>
      <c r="BY197" s="77" t="e">
        <f t="shared" si="177"/>
        <v>#DIV/0!</v>
      </c>
      <c r="BZ197" s="72" t="e">
        <f t="shared" si="230"/>
        <v>#DIV/0!</v>
      </c>
    </row>
    <row r="198" spans="1:78" s="16" customFormat="1" ht="63" customHeight="1" hidden="1">
      <c r="A198" s="88" t="s">
        <v>335</v>
      </c>
      <c r="B198" s="89" t="s">
        <v>160</v>
      </c>
      <c r="C198" s="89" t="s">
        <v>128</v>
      </c>
      <c r="D198" s="90" t="s">
        <v>194</v>
      </c>
      <c r="E198" s="89"/>
      <c r="F198" s="75"/>
      <c r="G198" s="75"/>
      <c r="H198" s="75"/>
      <c r="I198" s="94"/>
      <c r="J198" s="94"/>
      <c r="K198" s="94"/>
      <c r="L198" s="94"/>
      <c r="M198" s="75"/>
      <c r="N198" s="78"/>
      <c r="O198" s="94"/>
      <c r="P198" s="94"/>
      <c r="Q198" s="94"/>
      <c r="R198" s="94"/>
      <c r="S198" s="96"/>
      <c r="T198" s="96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6"/>
      <c r="AG198" s="94"/>
      <c r="AH198" s="94"/>
      <c r="AI198" s="94"/>
      <c r="AJ198" s="94"/>
      <c r="AK198" s="94"/>
      <c r="AL198" s="94"/>
      <c r="AM198" s="94"/>
      <c r="AN198" s="75">
        <f aca="true" t="shared" si="232" ref="AN198:BP198">AN199</f>
        <v>640</v>
      </c>
      <c r="AO198" s="75">
        <f t="shared" si="232"/>
        <v>0</v>
      </c>
      <c r="AP198" s="75">
        <f t="shared" si="232"/>
        <v>0</v>
      </c>
      <c r="AQ198" s="75">
        <f t="shared" si="232"/>
        <v>0</v>
      </c>
      <c r="AR198" s="75">
        <f t="shared" si="232"/>
        <v>640</v>
      </c>
      <c r="AS198" s="133">
        <f t="shared" si="232"/>
        <v>0</v>
      </c>
      <c r="AT198" s="76">
        <f t="shared" si="232"/>
        <v>0</v>
      </c>
      <c r="AU198" s="76">
        <f t="shared" si="232"/>
        <v>0</v>
      </c>
      <c r="AV198" s="76">
        <f t="shared" si="232"/>
        <v>0</v>
      </c>
      <c r="AW198" s="76">
        <f t="shared" si="232"/>
        <v>640</v>
      </c>
      <c r="AX198" s="76">
        <f t="shared" si="232"/>
        <v>0</v>
      </c>
      <c r="AY198" s="75">
        <f t="shared" si="232"/>
        <v>-280</v>
      </c>
      <c r="AZ198" s="75">
        <f t="shared" si="232"/>
        <v>0</v>
      </c>
      <c r="BA198" s="75">
        <f t="shared" si="232"/>
        <v>0</v>
      </c>
      <c r="BB198" s="75">
        <f t="shared" si="232"/>
        <v>0</v>
      </c>
      <c r="BC198" s="75">
        <f t="shared" si="232"/>
        <v>0</v>
      </c>
      <c r="BD198" s="75">
        <f t="shared" si="232"/>
        <v>360</v>
      </c>
      <c r="BE198" s="75">
        <f t="shared" si="232"/>
        <v>0</v>
      </c>
      <c r="BF198" s="75">
        <f t="shared" si="232"/>
        <v>0</v>
      </c>
      <c r="BG198" s="75">
        <f t="shared" si="232"/>
        <v>0</v>
      </c>
      <c r="BH198" s="75">
        <f t="shared" si="232"/>
        <v>0</v>
      </c>
      <c r="BI198" s="75">
        <f t="shared" si="232"/>
        <v>360</v>
      </c>
      <c r="BJ198" s="75">
        <f t="shared" si="232"/>
        <v>0</v>
      </c>
      <c r="BK198" s="75">
        <f t="shared" si="232"/>
        <v>0</v>
      </c>
      <c r="BL198" s="75">
        <f t="shared" si="232"/>
        <v>0</v>
      </c>
      <c r="BM198" s="75">
        <f t="shared" si="232"/>
        <v>-360</v>
      </c>
      <c r="BN198" s="75">
        <f t="shared" si="232"/>
        <v>0</v>
      </c>
      <c r="BO198" s="75">
        <f t="shared" si="232"/>
        <v>0</v>
      </c>
      <c r="BP198" s="75">
        <f t="shared" si="232"/>
        <v>0</v>
      </c>
      <c r="BQ198" s="94"/>
      <c r="BR198" s="94"/>
      <c r="BS198" s="94"/>
      <c r="BT198" s="94"/>
      <c r="BU198" s="94"/>
      <c r="BV198" s="94"/>
      <c r="BW198" s="94"/>
      <c r="BX198" s="94"/>
      <c r="BY198" s="77" t="e">
        <f t="shared" si="177"/>
        <v>#DIV/0!</v>
      </c>
      <c r="BZ198" s="72" t="e">
        <f t="shared" si="230"/>
        <v>#DIV/0!</v>
      </c>
    </row>
    <row r="199" spans="1:78" s="16" customFormat="1" ht="6.75" customHeight="1" hidden="1">
      <c r="A199" s="88" t="s">
        <v>359</v>
      </c>
      <c r="B199" s="89" t="s">
        <v>160</v>
      </c>
      <c r="C199" s="89" t="s">
        <v>128</v>
      </c>
      <c r="D199" s="90" t="s">
        <v>194</v>
      </c>
      <c r="E199" s="89" t="s">
        <v>145</v>
      </c>
      <c r="F199" s="75"/>
      <c r="G199" s="75"/>
      <c r="H199" s="75"/>
      <c r="I199" s="94"/>
      <c r="J199" s="94"/>
      <c r="K199" s="94"/>
      <c r="L199" s="94"/>
      <c r="M199" s="75"/>
      <c r="N199" s="78"/>
      <c r="O199" s="94"/>
      <c r="P199" s="94"/>
      <c r="Q199" s="94"/>
      <c r="R199" s="94"/>
      <c r="S199" s="96"/>
      <c r="T199" s="96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6"/>
      <c r="AG199" s="94"/>
      <c r="AH199" s="94"/>
      <c r="AI199" s="94"/>
      <c r="AJ199" s="94"/>
      <c r="AK199" s="94"/>
      <c r="AL199" s="94"/>
      <c r="AM199" s="94"/>
      <c r="AN199" s="75">
        <v>640</v>
      </c>
      <c r="AO199" s="75"/>
      <c r="AP199" s="75"/>
      <c r="AQ199" s="75"/>
      <c r="AR199" s="75">
        <f>AL199+AN199+AO199+AP199+AQ199</f>
        <v>640</v>
      </c>
      <c r="AS199" s="75">
        <f>AM199+AQ199</f>
        <v>0</v>
      </c>
      <c r="AT199" s="76"/>
      <c r="AU199" s="76"/>
      <c r="AV199" s="76"/>
      <c r="AW199" s="76">
        <f>AV199+AU199+AT199+AR199</f>
        <v>640</v>
      </c>
      <c r="AX199" s="76">
        <f>AV199+AS199</f>
        <v>0</v>
      </c>
      <c r="AY199" s="75">
        <v>-280</v>
      </c>
      <c r="AZ199" s="96"/>
      <c r="BA199" s="96"/>
      <c r="BB199" s="96"/>
      <c r="BC199" s="96"/>
      <c r="BD199" s="75">
        <f>AW199+AY199+AZ199+BA199+BB199+BC199</f>
        <v>360</v>
      </c>
      <c r="BE199" s="75">
        <f>AX199+BC199</f>
        <v>0</v>
      </c>
      <c r="BF199" s="94"/>
      <c r="BG199" s="94"/>
      <c r="BH199" s="94"/>
      <c r="BI199" s="75">
        <f>BD199+BF199+BG199+BH199</f>
        <v>360</v>
      </c>
      <c r="BJ199" s="75">
        <f>BE199+BH199</f>
        <v>0</v>
      </c>
      <c r="BK199" s="98"/>
      <c r="BL199" s="98"/>
      <c r="BM199" s="78">
        <v>-360</v>
      </c>
      <c r="BN199" s="98"/>
      <c r="BO199" s="75">
        <f>BI199+BK199+BL199+BM199+BN199</f>
        <v>0</v>
      </c>
      <c r="BP199" s="75">
        <f>BJ199+BN199</f>
        <v>0</v>
      </c>
      <c r="BQ199" s="94"/>
      <c r="BR199" s="94"/>
      <c r="BS199" s="94"/>
      <c r="BT199" s="94"/>
      <c r="BU199" s="94"/>
      <c r="BV199" s="94"/>
      <c r="BW199" s="94"/>
      <c r="BX199" s="94"/>
      <c r="BY199" s="77" t="e">
        <f t="shared" si="177"/>
        <v>#DIV/0!</v>
      </c>
      <c r="BZ199" s="72" t="e">
        <f t="shared" si="230"/>
        <v>#DIV/0!</v>
      </c>
    </row>
    <row r="200" spans="1:78" s="16" customFormat="1" ht="114" customHeight="1" hidden="1">
      <c r="A200" s="143" t="s">
        <v>372</v>
      </c>
      <c r="B200" s="89" t="s">
        <v>160</v>
      </c>
      <c r="C200" s="89" t="s">
        <v>128</v>
      </c>
      <c r="D200" s="90" t="s">
        <v>336</v>
      </c>
      <c r="E200" s="89"/>
      <c r="F200" s="75"/>
      <c r="G200" s="75"/>
      <c r="H200" s="75"/>
      <c r="I200" s="94"/>
      <c r="J200" s="94"/>
      <c r="K200" s="94"/>
      <c r="L200" s="94"/>
      <c r="M200" s="75"/>
      <c r="N200" s="78"/>
      <c r="O200" s="94"/>
      <c r="P200" s="94"/>
      <c r="Q200" s="94"/>
      <c r="R200" s="94"/>
      <c r="S200" s="96"/>
      <c r="T200" s="96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6"/>
      <c r="AG200" s="94"/>
      <c r="AH200" s="94"/>
      <c r="AI200" s="94"/>
      <c r="AJ200" s="94"/>
      <c r="AK200" s="94"/>
      <c r="AL200" s="94"/>
      <c r="AM200" s="94"/>
      <c r="AN200" s="75">
        <f aca="true" t="shared" si="233" ref="AN200:BX200">AN201</f>
        <v>1750</v>
      </c>
      <c r="AO200" s="75">
        <f t="shared" si="233"/>
        <v>0</v>
      </c>
      <c r="AP200" s="75">
        <f t="shared" si="233"/>
        <v>0</v>
      </c>
      <c r="AQ200" s="75">
        <f t="shared" si="233"/>
        <v>600</v>
      </c>
      <c r="AR200" s="75">
        <f t="shared" si="233"/>
        <v>2350</v>
      </c>
      <c r="AS200" s="75">
        <f t="shared" si="233"/>
        <v>600</v>
      </c>
      <c r="AT200" s="76">
        <f t="shared" si="233"/>
        <v>0</v>
      </c>
      <c r="AU200" s="76">
        <f t="shared" si="233"/>
        <v>0</v>
      </c>
      <c r="AV200" s="76">
        <f t="shared" si="233"/>
        <v>0</v>
      </c>
      <c r="AW200" s="76">
        <f t="shared" si="233"/>
        <v>2350</v>
      </c>
      <c r="AX200" s="76">
        <f t="shared" si="233"/>
        <v>600</v>
      </c>
      <c r="AY200" s="75">
        <f t="shared" si="233"/>
        <v>-1150</v>
      </c>
      <c r="AZ200" s="75">
        <f t="shared" si="233"/>
        <v>0</v>
      </c>
      <c r="BA200" s="75">
        <f t="shared" si="233"/>
        <v>0</v>
      </c>
      <c r="BB200" s="75">
        <f t="shared" si="233"/>
        <v>0</v>
      </c>
      <c r="BC200" s="75">
        <f t="shared" si="233"/>
        <v>0</v>
      </c>
      <c r="BD200" s="75">
        <f t="shared" si="233"/>
        <v>1200</v>
      </c>
      <c r="BE200" s="75">
        <f t="shared" si="233"/>
        <v>600</v>
      </c>
      <c r="BF200" s="75">
        <f t="shared" si="233"/>
        <v>0</v>
      </c>
      <c r="BG200" s="75">
        <f t="shared" si="233"/>
        <v>0</v>
      </c>
      <c r="BH200" s="75">
        <f t="shared" si="233"/>
        <v>0</v>
      </c>
      <c r="BI200" s="75">
        <f t="shared" si="233"/>
        <v>1200</v>
      </c>
      <c r="BJ200" s="75">
        <f t="shared" si="233"/>
        <v>600</v>
      </c>
      <c r="BK200" s="75">
        <f t="shared" si="233"/>
        <v>0</v>
      </c>
      <c r="BL200" s="75">
        <f t="shared" si="233"/>
        <v>0</v>
      </c>
      <c r="BM200" s="75">
        <f t="shared" si="233"/>
        <v>0</v>
      </c>
      <c r="BN200" s="75">
        <f t="shared" si="233"/>
        <v>0</v>
      </c>
      <c r="BO200" s="75">
        <f t="shared" si="233"/>
        <v>1200</v>
      </c>
      <c r="BP200" s="75">
        <f t="shared" si="233"/>
        <v>600</v>
      </c>
      <c r="BQ200" s="75">
        <f t="shared" si="233"/>
        <v>0</v>
      </c>
      <c r="BR200" s="75"/>
      <c r="BS200" s="75">
        <f t="shared" si="233"/>
        <v>0</v>
      </c>
      <c r="BT200" s="75">
        <f t="shared" si="233"/>
        <v>0</v>
      </c>
      <c r="BU200" s="75">
        <f t="shared" si="233"/>
        <v>1200</v>
      </c>
      <c r="BV200" s="75">
        <f t="shared" si="233"/>
        <v>600</v>
      </c>
      <c r="BW200" s="75">
        <f t="shared" si="233"/>
        <v>1200</v>
      </c>
      <c r="BX200" s="75">
        <f t="shared" si="233"/>
        <v>600</v>
      </c>
      <c r="BY200" s="77">
        <f t="shared" si="177"/>
        <v>100</v>
      </c>
      <c r="BZ200" s="77">
        <f t="shared" si="177"/>
        <v>100</v>
      </c>
    </row>
    <row r="201" spans="1:78" s="16" customFormat="1" ht="112.5" customHeight="1" hidden="1">
      <c r="A201" s="88" t="s">
        <v>359</v>
      </c>
      <c r="B201" s="89" t="s">
        <v>160</v>
      </c>
      <c r="C201" s="89" t="s">
        <v>128</v>
      </c>
      <c r="D201" s="90" t="s">
        <v>336</v>
      </c>
      <c r="E201" s="89" t="s">
        <v>145</v>
      </c>
      <c r="F201" s="75"/>
      <c r="G201" s="75"/>
      <c r="H201" s="75"/>
      <c r="I201" s="94"/>
      <c r="J201" s="94"/>
      <c r="K201" s="94"/>
      <c r="L201" s="94"/>
      <c r="M201" s="75"/>
      <c r="N201" s="78"/>
      <c r="O201" s="94"/>
      <c r="P201" s="94"/>
      <c r="Q201" s="94"/>
      <c r="R201" s="94"/>
      <c r="S201" s="96"/>
      <c r="T201" s="96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6"/>
      <c r="AG201" s="94"/>
      <c r="AH201" s="94"/>
      <c r="AI201" s="94"/>
      <c r="AJ201" s="94"/>
      <c r="AK201" s="94"/>
      <c r="AL201" s="94"/>
      <c r="AM201" s="94"/>
      <c r="AN201" s="75">
        <v>1750</v>
      </c>
      <c r="AO201" s="75"/>
      <c r="AP201" s="75"/>
      <c r="AQ201" s="75">
        <v>600</v>
      </c>
      <c r="AR201" s="75">
        <f>AL201+AN201+AO201+AP201+AQ201</f>
        <v>2350</v>
      </c>
      <c r="AS201" s="75">
        <f>AM201+AQ201</f>
        <v>600</v>
      </c>
      <c r="AT201" s="76"/>
      <c r="AU201" s="76"/>
      <c r="AV201" s="76"/>
      <c r="AW201" s="76">
        <f>AV201+AU201+AT201+AR201</f>
        <v>2350</v>
      </c>
      <c r="AX201" s="76">
        <f>AV201+AS201</f>
        <v>600</v>
      </c>
      <c r="AY201" s="75">
        <v>-1150</v>
      </c>
      <c r="AZ201" s="96"/>
      <c r="BA201" s="96"/>
      <c r="BB201" s="96"/>
      <c r="BC201" s="96"/>
      <c r="BD201" s="75">
        <f>AW201+AY201+AZ201+BA201+BB201+BC201</f>
        <v>1200</v>
      </c>
      <c r="BE201" s="75">
        <f>AX201+BC201</f>
        <v>600</v>
      </c>
      <c r="BF201" s="94"/>
      <c r="BG201" s="94"/>
      <c r="BH201" s="94"/>
      <c r="BI201" s="75">
        <f>BD201+BF201+BG201+BH201</f>
        <v>1200</v>
      </c>
      <c r="BJ201" s="75">
        <f>BE201+BH201</f>
        <v>600</v>
      </c>
      <c r="BK201" s="98"/>
      <c r="BL201" s="98"/>
      <c r="BM201" s="98"/>
      <c r="BN201" s="98"/>
      <c r="BO201" s="75">
        <f>BI201+BK201+BL201+BM201+BN201</f>
        <v>1200</v>
      </c>
      <c r="BP201" s="75">
        <f>BJ201+BN201</f>
        <v>600</v>
      </c>
      <c r="BQ201" s="94"/>
      <c r="BR201" s="94"/>
      <c r="BS201" s="94"/>
      <c r="BT201" s="94"/>
      <c r="BU201" s="75">
        <f>BO201+BQ201+BS201+BT201</f>
        <v>1200</v>
      </c>
      <c r="BV201" s="75">
        <f>BP201+BT201</f>
        <v>600</v>
      </c>
      <c r="BW201" s="75">
        <v>1200</v>
      </c>
      <c r="BX201" s="75">
        <v>600</v>
      </c>
      <c r="BY201" s="77">
        <f t="shared" si="177"/>
        <v>100</v>
      </c>
      <c r="BZ201" s="77">
        <f t="shared" si="177"/>
        <v>100</v>
      </c>
    </row>
    <row r="202" spans="1:78" s="16" customFormat="1" ht="84" customHeight="1" hidden="1">
      <c r="A202" s="143" t="s">
        <v>338</v>
      </c>
      <c r="B202" s="89" t="s">
        <v>160</v>
      </c>
      <c r="C202" s="89" t="s">
        <v>128</v>
      </c>
      <c r="D202" s="90" t="s">
        <v>337</v>
      </c>
      <c r="E202" s="89"/>
      <c r="F202" s="75"/>
      <c r="G202" s="75"/>
      <c r="H202" s="75"/>
      <c r="I202" s="94"/>
      <c r="J202" s="94"/>
      <c r="K202" s="94"/>
      <c r="L202" s="94"/>
      <c r="M202" s="75"/>
      <c r="N202" s="78"/>
      <c r="O202" s="94"/>
      <c r="P202" s="94"/>
      <c r="Q202" s="94"/>
      <c r="R202" s="94"/>
      <c r="S202" s="96"/>
      <c r="T202" s="96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6"/>
      <c r="AG202" s="94"/>
      <c r="AH202" s="94"/>
      <c r="AI202" s="94"/>
      <c r="AJ202" s="94"/>
      <c r="AK202" s="94"/>
      <c r="AL202" s="94"/>
      <c r="AM202" s="94"/>
      <c r="AN202" s="75">
        <f aca="true" t="shared" si="234" ref="AN202:BX202">AN203</f>
        <v>9279</v>
      </c>
      <c r="AO202" s="75">
        <f t="shared" si="234"/>
        <v>0</v>
      </c>
      <c r="AP202" s="75">
        <f t="shared" si="234"/>
        <v>0</v>
      </c>
      <c r="AQ202" s="75">
        <f t="shared" si="234"/>
        <v>0</v>
      </c>
      <c r="AR202" s="75">
        <f t="shared" si="234"/>
        <v>9279</v>
      </c>
      <c r="AS202" s="75">
        <f t="shared" si="234"/>
        <v>0</v>
      </c>
      <c r="AT202" s="76">
        <f t="shared" si="234"/>
        <v>0</v>
      </c>
      <c r="AU202" s="76">
        <f t="shared" si="234"/>
        <v>0</v>
      </c>
      <c r="AV202" s="76">
        <f t="shared" si="234"/>
        <v>0</v>
      </c>
      <c r="AW202" s="76">
        <f t="shared" si="234"/>
        <v>9279</v>
      </c>
      <c r="AX202" s="76">
        <f t="shared" si="234"/>
        <v>0</v>
      </c>
      <c r="AY202" s="75">
        <f t="shared" si="234"/>
        <v>-7000</v>
      </c>
      <c r="AZ202" s="75">
        <f t="shared" si="234"/>
        <v>0</v>
      </c>
      <c r="BA202" s="75">
        <f t="shared" si="234"/>
        <v>0</v>
      </c>
      <c r="BB202" s="75">
        <f t="shared" si="234"/>
        <v>0</v>
      </c>
      <c r="BC202" s="75">
        <f t="shared" si="234"/>
        <v>0</v>
      </c>
      <c r="BD202" s="75">
        <f t="shared" si="234"/>
        <v>2279</v>
      </c>
      <c r="BE202" s="75">
        <f t="shared" si="234"/>
        <v>0</v>
      </c>
      <c r="BF202" s="75">
        <f t="shared" si="234"/>
        <v>0</v>
      </c>
      <c r="BG202" s="75">
        <f t="shared" si="234"/>
        <v>0</v>
      </c>
      <c r="BH202" s="75">
        <f t="shared" si="234"/>
        <v>0</v>
      </c>
      <c r="BI202" s="75">
        <f t="shared" si="234"/>
        <v>2279</v>
      </c>
      <c r="BJ202" s="75">
        <f t="shared" si="234"/>
        <v>0</v>
      </c>
      <c r="BK202" s="75">
        <f t="shared" si="234"/>
        <v>0</v>
      </c>
      <c r="BL202" s="75">
        <f t="shared" si="234"/>
        <v>0</v>
      </c>
      <c r="BM202" s="75">
        <f t="shared" si="234"/>
        <v>0</v>
      </c>
      <c r="BN202" s="75">
        <f t="shared" si="234"/>
        <v>0</v>
      </c>
      <c r="BO202" s="75">
        <f t="shared" si="234"/>
        <v>2279</v>
      </c>
      <c r="BP202" s="75">
        <f t="shared" si="234"/>
        <v>0</v>
      </c>
      <c r="BQ202" s="75">
        <f t="shared" si="234"/>
        <v>0</v>
      </c>
      <c r="BR202" s="75"/>
      <c r="BS202" s="75">
        <f t="shared" si="234"/>
        <v>0</v>
      </c>
      <c r="BT202" s="75">
        <f t="shared" si="234"/>
        <v>0</v>
      </c>
      <c r="BU202" s="75">
        <f t="shared" si="234"/>
        <v>2279</v>
      </c>
      <c r="BV202" s="75">
        <f t="shared" si="234"/>
        <v>0</v>
      </c>
      <c r="BW202" s="75">
        <f t="shared" si="234"/>
        <v>2279</v>
      </c>
      <c r="BX202" s="75">
        <f t="shared" si="234"/>
        <v>0</v>
      </c>
      <c r="BY202" s="77">
        <f t="shared" si="177"/>
        <v>100</v>
      </c>
      <c r="BZ202" s="72"/>
    </row>
    <row r="203" spans="1:78" s="16" customFormat="1" ht="99.75" customHeight="1" hidden="1">
      <c r="A203" s="88" t="s">
        <v>359</v>
      </c>
      <c r="B203" s="89" t="s">
        <v>160</v>
      </c>
      <c r="C203" s="89" t="s">
        <v>128</v>
      </c>
      <c r="D203" s="90" t="s">
        <v>337</v>
      </c>
      <c r="E203" s="89" t="s">
        <v>145</v>
      </c>
      <c r="F203" s="75"/>
      <c r="G203" s="75"/>
      <c r="H203" s="75"/>
      <c r="I203" s="94"/>
      <c r="J203" s="94"/>
      <c r="K203" s="94"/>
      <c r="L203" s="94"/>
      <c r="M203" s="75"/>
      <c r="N203" s="78"/>
      <c r="O203" s="94"/>
      <c r="P203" s="94"/>
      <c r="Q203" s="94"/>
      <c r="R203" s="94"/>
      <c r="S203" s="96"/>
      <c r="T203" s="96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6"/>
      <c r="AG203" s="94"/>
      <c r="AH203" s="94"/>
      <c r="AI203" s="94"/>
      <c r="AJ203" s="94"/>
      <c r="AK203" s="94"/>
      <c r="AL203" s="94"/>
      <c r="AM203" s="94"/>
      <c r="AN203" s="75">
        <v>9279</v>
      </c>
      <c r="AO203" s="75"/>
      <c r="AP203" s="75"/>
      <c r="AQ203" s="75"/>
      <c r="AR203" s="75">
        <f>AL203+AN203+AO203+AP203+AQ203</f>
        <v>9279</v>
      </c>
      <c r="AS203" s="75">
        <f>AM203+AQ203</f>
        <v>0</v>
      </c>
      <c r="AT203" s="76"/>
      <c r="AU203" s="76"/>
      <c r="AV203" s="76"/>
      <c r="AW203" s="76">
        <f>AV203+AU203+AT203+AR203</f>
        <v>9279</v>
      </c>
      <c r="AX203" s="76">
        <f>AV203+AS203</f>
        <v>0</v>
      </c>
      <c r="AY203" s="75">
        <v>-7000</v>
      </c>
      <c r="AZ203" s="96"/>
      <c r="BA203" s="96"/>
      <c r="BB203" s="96"/>
      <c r="BC203" s="96"/>
      <c r="BD203" s="75">
        <f>AW203+AY203+AZ203+BA203+BB203+BC203</f>
        <v>2279</v>
      </c>
      <c r="BE203" s="75">
        <f>AX203+BC203</f>
        <v>0</v>
      </c>
      <c r="BF203" s="94"/>
      <c r="BG203" s="94"/>
      <c r="BH203" s="94"/>
      <c r="BI203" s="75">
        <f>BD203+BF203+BG203+BH203</f>
        <v>2279</v>
      </c>
      <c r="BJ203" s="75">
        <f>BE203+BH203</f>
        <v>0</v>
      </c>
      <c r="BK203" s="98"/>
      <c r="BL203" s="98"/>
      <c r="BM203" s="98"/>
      <c r="BN203" s="98"/>
      <c r="BO203" s="75">
        <f>BI203+BK203+BL203+BM203+BN203</f>
        <v>2279</v>
      </c>
      <c r="BP203" s="75">
        <f>BJ203+BN203</f>
        <v>0</v>
      </c>
      <c r="BQ203" s="94"/>
      <c r="BR203" s="94"/>
      <c r="BS203" s="94"/>
      <c r="BT203" s="94"/>
      <c r="BU203" s="75">
        <f>BO203+BQ203+BS203+BT203</f>
        <v>2279</v>
      </c>
      <c r="BV203" s="75">
        <f>BP203+BT203</f>
        <v>0</v>
      </c>
      <c r="BW203" s="75">
        <v>2279</v>
      </c>
      <c r="BX203" s="75">
        <f>BR203+BV203</f>
        <v>0</v>
      </c>
      <c r="BY203" s="77">
        <f t="shared" si="177"/>
        <v>100</v>
      </c>
      <c r="BZ203" s="72"/>
    </row>
    <row r="204" spans="1:78" s="16" customFormat="1" ht="285" customHeight="1" hidden="1">
      <c r="A204" s="143" t="s">
        <v>352</v>
      </c>
      <c r="B204" s="89" t="s">
        <v>160</v>
      </c>
      <c r="C204" s="89" t="s">
        <v>128</v>
      </c>
      <c r="D204" s="90" t="s">
        <v>348</v>
      </c>
      <c r="E204" s="89"/>
      <c r="F204" s="75"/>
      <c r="G204" s="75"/>
      <c r="H204" s="75"/>
      <c r="I204" s="94"/>
      <c r="J204" s="94"/>
      <c r="K204" s="94"/>
      <c r="L204" s="94"/>
      <c r="M204" s="75"/>
      <c r="N204" s="78"/>
      <c r="O204" s="94"/>
      <c r="P204" s="94"/>
      <c r="Q204" s="94"/>
      <c r="R204" s="94"/>
      <c r="S204" s="96"/>
      <c r="T204" s="96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6"/>
      <c r="AG204" s="94"/>
      <c r="AH204" s="94"/>
      <c r="AI204" s="94"/>
      <c r="AJ204" s="94"/>
      <c r="AK204" s="94"/>
      <c r="AL204" s="94"/>
      <c r="AM204" s="94"/>
      <c r="AN204" s="75"/>
      <c r="AO204" s="75"/>
      <c r="AP204" s="75"/>
      <c r="AQ204" s="75"/>
      <c r="AR204" s="75"/>
      <c r="AS204" s="75"/>
      <c r="AT204" s="76"/>
      <c r="AU204" s="76"/>
      <c r="AV204" s="76"/>
      <c r="AW204" s="76"/>
      <c r="AX204" s="76"/>
      <c r="AY204" s="75">
        <f aca="true" t="shared" si="235" ref="AY204:BX204">AY205</f>
        <v>0</v>
      </c>
      <c r="AZ204" s="75">
        <f t="shared" si="235"/>
        <v>4602</v>
      </c>
      <c r="BA204" s="75">
        <f t="shared" si="235"/>
        <v>0</v>
      </c>
      <c r="BB204" s="75">
        <f t="shared" si="235"/>
        <v>3727</v>
      </c>
      <c r="BC204" s="75">
        <f t="shared" si="235"/>
        <v>94033</v>
      </c>
      <c r="BD204" s="75">
        <f t="shared" si="235"/>
        <v>102362</v>
      </c>
      <c r="BE204" s="75">
        <f t="shared" si="235"/>
        <v>94033</v>
      </c>
      <c r="BF204" s="75">
        <f t="shared" si="235"/>
        <v>0</v>
      </c>
      <c r="BG204" s="75">
        <f t="shared" si="235"/>
        <v>0</v>
      </c>
      <c r="BH204" s="75">
        <f t="shared" si="235"/>
        <v>0</v>
      </c>
      <c r="BI204" s="75">
        <f t="shared" si="235"/>
        <v>102362</v>
      </c>
      <c r="BJ204" s="75">
        <f t="shared" si="235"/>
        <v>94033</v>
      </c>
      <c r="BK204" s="75">
        <f t="shared" si="235"/>
        <v>0</v>
      </c>
      <c r="BL204" s="75">
        <f t="shared" si="235"/>
        <v>0</v>
      </c>
      <c r="BM204" s="75">
        <f t="shared" si="235"/>
        <v>0</v>
      </c>
      <c r="BN204" s="75">
        <f t="shared" si="235"/>
        <v>0</v>
      </c>
      <c r="BO204" s="75">
        <f t="shared" si="235"/>
        <v>102362</v>
      </c>
      <c r="BP204" s="75">
        <f t="shared" si="235"/>
        <v>94033</v>
      </c>
      <c r="BQ204" s="75">
        <f t="shared" si="235"/>
        <v>0</v>
      </c>
      <c r="BR204" s="75"/>
      <c r="BS204" s="75">
        <f t="shared" si="235"/>
        <v>0</v>
      </c>
      <c r="BT204" s="75">
        <f t="shared" si="235"/>
        <v>0</v>
      </c>
      <c r="BU204" s="75">
        <f t="shared" si="235"/>
        <v>102362</v>
      </c>
      <c r="BV204" s="75">
        <f t="shared" si="235"/>
        <v>94033</v>
      </c>
      <c r="BW204" s="75">
        <f t="shared" si="235"/>
        <v>102362</v>
      </c>
      <c r="BX204" s="75">
        <f t="shared" si="235"/>
        <v>94033</v>
      </c>
      <c r="BY204" s="77">
        <f t="shared" si="177"/>
        <v>100</v>
      </c>
      <c r="BZ204" s="72"/>
    </row>
    <row r="205" spans="1:78" s="16" customFormat="1" ht="89.25" customHeight="1" hidden="1">
      <c r="A205" s="88" t="s">
        <v>359</v>
      </c>
      <c r="B205" s="89" t="s">
        <v>160</v>
      </c>
      <c r="C205" s="89" t="s">
        <v>128</v>
      </c>
      <c r="D205" s="90" t="s">
        <v>348</v>
      </c>
      <c r="E205" s="89" t="s">
        <v>145</v>
      </c>
      <c r="F205" s="75"/>
      <c r="G205" s="75"/>
      <c r="H205" s="75"/>
      <c r="I205" s="94"/>
      <c r="J205" s="94"/>
      <c r="K205" s="94"/>
      <c r="L205" s="94"/>
      <c r="M205" s="75"/>
      <c r="N205" s="78"/>
      <c r="O205" s="94"/>
      <c r="P205" s="94"/>
      <c r="Q205" s="94"/>
      <c r="R205" s="94"/>
      <c r="S205" s="96"/>
      <c r="T205" s="96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6"/>
      <c r="AG205" s="94"/>
      <c r="AH205" s="94"/>
      <c r="AI205" s="94"/>
      <c r="AJ205" s="94"/>
      <c r="AK205" s="94"/>
      <c r="AL205" s="94"/>
      <c r="AM205" s="94"/>
      <c r="AN205" s="75"/>
      <c r="AO205" s="75"/>
      <c r="AP205" s="75"/>
      <c r="AQ205" s="75"/>
      <c r="AR205" s="75"/>
      <c r="AS205" s="75"/>
      <c r="AT205" s="76"/>
      <c r="AU205" s="76"/>
      <c r="AV205" s="76"/>
      <c r="AW205" s="76"/>
      <c r="AX205" s="76"/>
      <c r="AY205" s="75"/>
      <c r="AZ205" s="75">
        <v>4602</v>
      </c>
      <c r="BA205" s="75"/>
      <c r="BB205" s="75">
        <v>3727</v>
      </c>
      <c r="BC205" s="75">
        <v>94033</v>
      </c>
      <c r="BD205" s="75">
        <f>AW205+AY205+AZ205+BA205+BB205+BC205</f>
        <v>102362</v>
      </c>
      <c r="BE205" s="75">
        <f>AX205+BC205</f>
        <v>94033</v>
      </c>
      <c r="BF205" s="94"/>
      <c r="BG205" s="94"/>
      <c r="BH205" s="94"/>
      <c r="BI205" s="75">
        <f>BD205+BF205+BG205+BH205</f>
        <v>102362</v>
      </c>
      <c r="BJ205" s="75">
        <f>BE205+BH205</f>
        <v>94033</v>
      </c>
      <c r="BK205" s="98"/>
      <c r="BL205" s="98"/>
      <c r="BM205" s="98"/>
      <c r="BN205" s="98"/>
      <c r="BO205" s="75">
        <f>BI205+BK205+BL205+BM205+BN205</f>
        <v>102362</v>
      </c>
      <c r="BP205" s="75">
        <f>BJ205+BN205</f>
        <v>94033</v>
      </c>
      <c r="BQ205" s="94"/>
      <c r="BR205" s="94"/>
      <c r="BS205" s="94"/>
      <c r="BT205" s="94"/>
      <c r="BU205" s="75">
        <f>BO205+BQ205+BS205+BT205</f>
        <v>102362</v>
      </c>
      <c r="BV205" s="75">
        <f>BP205+BT205</f>
        <v>94033</v>
      </c>
      <c r="BW205" s="75">
        <v>102362</v>
      </c>
      <c r="BX205" s="75">
        <v>94033</v>
      </c>
      <c r="BY205" s="77">
        <f t="shared" si="177"/>
        <v>100</v>
      </c>
      <c r="BZ205" s="77">
        <f>BX205/BV205*100</f>
        <v>100</v>
      </c>
    </row>
    <row r="206" spans="1:78" ht="41.25" customHeight="1" hidden="1">
      <c r="A206" s="88" t="s">
        <v>121</v>
      </c>
      <c r="B206" s="89" t="s">
        <v>160</v>
      </c>
      <c r="C206" s="89" t="s">
        <v>128</v>
      </c>
      <c r="D206" s="144" t="s">
        <v>123</v>
      </c>
      <c r="E206" s="89"/>
      <c r="F206" s="50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2"/>
      <c r="T206" s="52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2"/>
      <c r="AG206" s="51"/>
      <c r="AH206" s="51"/>
      <c r="AI206" s="51"/>
      <c r="AJ206" s="51"/>
      <c r="AK206" s="51"/>
      <c r="AL206" s="51"/>
      <c r="AM206" s="51"/>
      <c r="AN206" s="75">
        <f aca="true" t="shared" si="236" ref="AN206:BX206">AN207</f>
        <v>13250</v>
      </c>
      <c r="AO206" s="75">
        <f t="shared" si="236"/>
        <v>0</v>
      </c>
      <c r="AP206" s="75">
        <f t="shared" si="236"/>
        <v>0</v>
      </c>
      <c r="AQ206" s="75">
        <f t="shared" si="236"/>
        <v>0</v>
      </c>
      <c r="AR206" s="75">
        <f t="shared" si="236"/>
        <v>13250</v>
      </c>
      <c r="AS206" s="75">
        <f t="shared" si="236"/>
        <v>0</v>
      </c>
      <c r="AT206" s="76">
        <f t="shared" si="236"/>
        <v>0</v>
      </c>
      <c r="AU206" s="76">
        <f t="shared" si="236"/>
        <v>0</v>
      </c>
      <c r="AV206" s="76">
        <f t="shared" si="236"/>
        <v>0</v>
      </c>
      <c r="AW206" s="76">
        <f t="shared" si="236"/>
        <v>13250</v>
      </c>
      <c r="AX206" s="76">
        <f t="shared" si="236"/>
        <v>0</v>
      </c>
      <c r="AY206" s="75">
        <f t="shared" si="236"/>
        <v>0</v>
      </c>
      <c r="AZ206" s="75">
        <f t="shared" si="236"/>
        <v>0</v>
      </c>
      <c r="BA206" s="75">
        <f t="shared" si="236"/>
        <v>0</v>
      </c>
      <c r="BB206" s="75">
        <f t="shared" si="236"/>
        <v>0</v>
      </c>
      <c r="BC206" s="75">
        <f t="shared" si="236"/>
        <v>0</v>
      </c>
      <c r="BD206" s="75">
        <f t="shared" si="236"/>
        <v>13250</v>
      </c>
      <c r="BE206" s="75">
        <f t="shared" si="236"/>
        <v>0</v>
      </c>
      <c r="BF206" s="75">
        <f t="shared" si="236"/>
        <v>0</v>
      </c>
      <c r="BG206" s="75">
        <f t="shared" si="236"/>
        <v>0</v>
      </c>
      <c r="BH206" s="75">
        <f t="shared" si="236"/>
        <v>0</v>
      </c>
      <c r="BI206" s="75">
        <f t="shared" si="236"/>
        <v>13250</v>
      </c>
      <c r="BJ206" s="75">
        <f t="shared" si="236"/>
        <v>0</v>
      </c>
      <c r="BK206" s="75">
        <f t="shared" si="236"/>
        <v>0</v>
      </c>
      <c r="BL206" s="75">
        <f t="shared" si="236"/>
        <v>0</v>
      </c>
      <c r="BM206" s="75">
        <f t="shared" si="236"/>
        <v>0</v>
      </c>
      <c r="BN206" s="75">
        <f t="shared" si="236"/>
        <v>57000</v>
      </c>
      <c r="BO206" s="75">
        <f t="shared" si="236"/>
        <v>70250</v>
      </c>
      <c r="BP206" s="75">
        <f t="shared" si="236"/>
        <v>57000</v>
      </c>
      <c r="BQ206" s="75">
        <f t="shared" si="236"/>
        <v>0</v>
      </c>
      <c r="BR206" s="75"/>
      <c r="BS206" s="75">
        <f t="shared" si="236"/>
        <v>0</v>
      </c>
      <c r="BT206" s="75">
        <f t="shared" si="236"/>
        <v>0</v>
      </c>
      <c r="BU206" s="75">
        <f t="shared" si="236"/>
        <v>70250</v>
      </c>
      <c r="BV206" s="75">
        <f t="shared" si="236"/>
        <v>57000</v>
      </c>
      <c r="BW206" s="75">
        <f t="shared" si="236"/>
        <v>70245</v>
      </c>
      <c r="BX206" s="75">
        <f t="shared" si="236"/>
        <v>57000</v>
      </c>
      <c r="BY206" s="77">
        <f t="shared" si="177"/>
        <v>99.99288256227759</v>
      </c>
      <c r="BZ206" s="77">
        <f t="shared" si="177"/>
        <v>100</v>
      </c>
    </row>
    <row r="207" spans="1:78" ht="109.5" customHeight="1" hidden="1">
      <c r="A207" s="88" t="s">
        <v>368</v>
      </c>
      <c r="B207" s="89" t="s">
        <v>160</v>
      </c>
      <c r="C207" s="89" t="s">
        <v>128</v>
      </c>
      <c r="D207" s="144" t="s">
        <v>325</v>
      </c>
      <c r="E207" s="89"/>
      <c r="F207" s="50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2"/>
      <c r="T207" s="52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2"/>
      <c r="AG207" s="51"/>
      <c r="AH207" s="51"/>
      <c r="AI207" s="51"/>
      <c r="AJ207" s="51"/>
      <c r="AK207" s="51"/>
      <c r="AL207" s="51"/>
      <c r="AM207" s="51"/>
      <c r="AN207" s="75">
        <f aca="true" t="shared" si="237" ref="AN207:AS207">AN208+AN209</f>
        <v>13250</v>
      </c>
      <c r="AO207" s="75">
        <f t="shared" si="237"/>
        <v>0</v>
      </c>
      <c r="AP207" s="75">
        <f t="shared" si="237"/>
        <v>0</v>
      </c>
      <c r="AQ207" s="75">
        <f t="shared" si="237"/>
        <v>0</v>
      </c>
      <c r="AR207" s="75">
        <f t="shared" si="237"/>
        <v>13250</v>
      </c>
      <c r="AS207" s="75">
        <f t="shared" si="237"/>
        <v>0</v>
      </c>
      <c r="AT207" s="76">
        <f>AT208+AT209</f>
        <v>0</v>
      </c>
      <c r="AU207" s="76">
        <f>AU208+AU209</f>
        <v>0</v>
      </c>
      <c r="AV207" s="76">
        <f>AV208+AV209</f>
        <v>0</v>
      </c>
      <c r="AW207" s="76">
        <f>AW208+AW209</f>
        <v>13250</v>
      </c>
      <c r="AX207" s="76">
        <f aca="true" t="shared" si="238" ref="AX207:BD207">AX208+AX209</f>
        <v>0</v>
      </c>
      <c r="AY207" s="75">
        <f t="shared" si="238"/>
        <v>0</v>
      </c>
      <c r="AZ207" s="75">
        <f t="shared" si="238"/>
        <v>0</v>
      </c>
      <c r="BA207" s="75">
        <f>BA208+BA209</f>
        <v>0</v>
      </c>
      <c r="BB207" s="75">
        <f>BB208+BB209</f>
        <v>0</v>
      </c>
      <c r="BC207" s="75">
        <f t="shared" si="238"/>
        <v>0</v>
      </c>
      <c r="BD207" s="75">
        <f t="shared" si="238"/>
        <v>13250</v>
      </c>
      <c r="BE207" s="75">
        <f>BE208+BE209</f>
        <v>0</v>
      </c>
      <c r="BF207" s="75">
        <f>BF208+BF209</f>
        <v>0</v>
      </c>
      <c r="BG207" s="75">
        <f>BG208+BG209</f>
        <v>0</v>
      </c>
      <c r="BH207" s="75">
        <f>BH208+BH209</f>
        <v>0</v>
      </c>
      <c r="BI207" s="75">
        <f>BI208+BI209</f>
        <v>13250</v>
      </c>
      <c r="BJ207" s="75">
        <f aca="true" t="shared" si="239" ref="BJ207:BV207">BJ208+BJ209</f>
        <v>0</v>
      </c>
      <c r="BK207" s="75">
        <f t="shared" si="239"/>
        <v>0</v>
      </c>
      <c r="BL207" s="75">
        <f t="shared" si="239"/>
        <v>0</v>
      </c>
      <c r="BM207" s="75">
        <f t="shared" si="239"/>
        <v>0</v>
      </c>
      <c r="BN207" s="75">
        <f t="shared" si="239"/>
        <v>57000</v>
      </c>
      <c r="BO207" s="75">
        <f t="shared" si="239"/>
        <v>70250</v>
      </c>
      <c r="BP207" s="75">
        <f t="shared" si="239"/>
        <v>57000</v>
      </c>
      <c r="BQ207" s="75">
        <f t="shared" si="239"/>
        <v>0</v>
      </c>
      <c r="BR207" s="75"/>
      <c r="BS207" s="75">
        <f t="shared" si="239"/>
        <v>0</v>
      </c>
      <c r="BT207" s="75">
        <f t="shared" si="239"/>
        <v>0</v>
      </c>
      <c r="BU207" s="75">
        <f t="shared" si="239"/>
        <v>70250</v>
      </c>
      <c r="BV207" s="75">
        <f t="shared" si="239"/>
        <v>57000</v>
      </c>
      <c r="BW207" s="75">
        <f>BW208+BW209</f>
        <v>70245</v>
      </c>
      <c r="BX207" s="75">
        <f>BX208+BX209</f>
        <v>57000</v>
      </c>
      <c r="BY207" s="77">
        <f t="shared" si="177"/>
        <v>99.99288256227759</v>
      </c>
      <c r="BZ207" s="77">
        <f t="shared" si="177"/>
        <v>100</v>
      </c>
    </row>
    <row r="208" spans="1:78" ht="76.5" customHeight="1" hidden="1">
      <c r="A208" s="88" t="s">
        <v>138</v>
      </c>
      <c r="B208" s="89" t="s">
        <v>160</v>
      </c>
      <c r="C208" s="89" t="s">
        <v>128</v>
      </c>
      <c r="D208" s="144" t="s">
        <v>325</v>
      </c>
      <c r="E208" s="89" t="s">
        <v>139</v>
      </c>
      <c r="F208" s="50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2"/>
      <c r="T208" s="52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2"/>
      <c r="AG208" s="51"/>
      <c r="AH208" s="51"/>
      <c r="AI208" s="51"/>
      <c r="AJ208" s="51"/>
      <c r="AK208" s="51"/>
      <c r="AL208" s="51"/>
      <c r="AM208" s="51"/>
      <c r="AN208" s="75">
        <v>7872</v>
      </c>
      <c r="AO208" s="75"/>
      <c r="AP208" s="75"/>
      <c r="AQ208" s="75"/>
      <c r="AR208" s="75">
        <f>AL208+AN208+AO208+AP208+AQ208</f>
        <v>7872</v>
      </c>
      <c r="AS208" s="75">
        <f>AM208+AQ208</f>
        <v>0</v>
      </c>
      <c r="AT208" s="76"/>
      <c r="AU208" s="76"/>
      <c r="AV208" s="76"/>
      <c r="AW208" s="76">
        <f>AV208+AU208+AT208+AR208</f>
        <v>7872</v>
      </c>
      <c r="AX208" s="76">
        <f>AV208+AS208</f>
        <v>0</v>
      </c>
      <c r="AY208" s="52"/>
      <c r="AZ208" s="52"/>
      <c r="BA208" s="52"/>
      <c r="BB208" s="52"/>
      <c r="BC208" s="52"/>
      <c r="BD208" s="75">
        <f>AW208+AY208+AZ208+BA208+BB208+BC208</f>
        <v>7872</v>
      </c>
      <c r="BE208" s="75">
        <f>AX208+BC208</f>
        <v>0</v>
      </c>
      <c r="BF208" s="51"/>
      <c r="BG208" s="51"/>
      <c r="BH208" s="51"/>
      <c r="BI208" s="75">
        <f>BD208+BF208+BG208+BH208</f>
        <v>7872</v>
      </c>
      <c r="BJ208" s="75">
        <f>BE208+BH208</f>
        <v>0</v>
      </c>
      <c r="BK208" s="54"/>
      <c r="BL208" s="54"/>
      <c r="BM208" s="54"/>
      <c r="BN208" s="54"/>
      <c r="BO208" s="75">
        <f>BI208+BK208+BL208+BM208+BN208</f>
        <v>7872</v>
      </c>
      <c r="BP208" s="75">
        <f>BJ208+BN208</f>
        <v>0</v>
      </c>
      <c r="BQ208" s="51"/>
      <c r="BR208" s="51"/>
      <c r="BS208" s="51"/>
      <c r="BT208" s="51"/>
      <c r="BU208" s="75">
        <f>BO208+BQ208+BS208+BT208</f>
        <v>7872</v>
      </c>
      <c r="BV208" s="75">
        <f>BP208+BT208</f>
        <v>0</v>
      </c>
      <c r="BW208" s="75">
        <v>7867</v>
      </c>
      <c r="BX208" s="75">
        <f>BR208+BV208</f>
        <v>0</v>
      </c>
      <c r="BY208" s="77">
        <f t="shared" si="177"/>
        <v>99.9364837398374</v>
      </c>
      <c r="BZ208" s="72"/>
    </row>
    <row r="209" spans="1:78" ht="109.5" customHeight="1" hidden="1">
      <c r="A209" s="88" t="s">
        <v>359</v>
      </c>
      <c r="B209" s="89" t="s">
        <v>160</v>
      </c>
      <c r="C209" s="89" t="s">
        <v>128</v>
      </c>
      <c r="D209" s="144" t="s">
        <v>325</v>
      </c>
      <c r="E209" s="89" t="s">
        <v>145</v>
      </c>
      <c r="F209" s="50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2"/>
      <c r="T209" s="52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2"/>
      <c r="AG209" s="51"/>
      <c r="AH209" s="51"/>
      <c r="AI209" s="51"/>
      <c r="AJ209" s="51"/>
      <c r="AK209" s="51"/>
      <c r="AL209" s="51"/>
      <c r="AM209" s="51"/>
      <c r="AN209" s="75">
        <v>5378</v>
      </c>
      <c r="AO209" s="75"/>
      <c r="AP209" s="75"/>
      <c r="AQ209" s="75"/>
      <c r="AR209" s="75">
        <f>AL209+AN209+AO209+AP209+AQ209</f>
        <v>5378</v>
      </c>
      <c r="AS209" s="75">
        <f>AM209+AQ209</f>
        <v>0</v>
      </c>
      <c r="AT209" s="76"/>
      <c r="AU209" s="76"/>
      <c r="AV209" s="76"/>
      <c r="AW209" s="76">
        <f>AV209+AU209+AT209+AR209</f>
        <v>5378</v>
      </c>
      <c r="AX209" s="76">
        <f>AV209+AS209</f>
        <v>0</v>
      </c>
      <c r="AY209" s="52"/>
      <c r="AZ209" s="52"/>
      <c r="BA209" s="52"/>
      <c r="BB209" s="52"/>
      <c r="BC209" s="52"/>
      <c r="BD209" s="75">
        <f>AW209+AY209+AZ209+BA209+BB209+BC209</f>
        <v>5378</v>
      </c>
      <c r="BE209" s="75">
        <f>AX209+BC209</f>
        <v>0</v>
      </c>
      <c r="BF209" s="51"/>
      <c r="BG209" s="51"/>
      <c r="BH209" s="75"/>
      <c r="BI209" s="75">
        <f>BD209+BF209+BG209+BH209</f>
        <v>5378</v>
      </c>
      <c r="BJ209" s="75">
        <f>BE209+BH209</f>
        <v>0</v>
      </c>
      <c r="BK209" s="54"/>
      <c r="BL209" s="54"/>
      <c r="BM209" s="54"/>
      <c r="BN209" s="75">
        <v>57000</v>
      </c>
      <c r="BO209" s="75">
        <f>BI209+BK209+BL209+BM209+BN209</f>
        <v>62378</v>
      </c>
      <c r="BP209" s="75">
        <f>BJ209+BN209</f>
        <v>57000</v>
      </c>
      <c r="BQ209" s="51"/>
      <c r="BR209" s="51"/>
      <c r="BS209" s="51"/>
      <c r="BT209" s="51"/>
      <c r="BU209" s="75">
        <f>BO209+BQ209+BS209+BT209</f>
        <v>62378</v>
      </c>
      <c r="BV209" s="75">
        <f>BP209+BT209</f>
        <v>57000</v>
      </c>
      <c r="BW209" s="75">
        <f>BW210</f>
        <v>62378</v>
      </c>
      <c r="BX209" s="75">
        <f>BX210</f>
        <v>57000</v>
      </c>
      <c r="BY209" s="77">
        <f t="shared" si="177"/>
        <v>100</v>
      </c>
      <c r="BZ209" s="77">
        <f t="shared" si="177"/>
        <v>100</v>
      </c>
    </row>
    <row r="210" spans="1:78" ht="79.5" customHeight="1" hidden="1">
      <c r="A210" s="88" t="s">
        <v>327</v>
      </c>
      <c r="B210" s="89" t="s">
        <v>160</v>
      </c>
      <c r="C210" s="89" t="s">
        <v>128</v>
      </c>
      <c r="D210" s="144" t="s">
        <v>326</v>
      </c>
      <c r="E210" s="89"/>
      <c r="F210" s="50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2"/>
      <c r="T210" s="52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2"/>
      <c r="AG210" s="51"/>
      <c r="AH210" s="51"/>
      <c r="AI210" s="51"/>
      <c r="AJ210" s="51"/>
      <c r="AK210" s="51"/>
      <c r="AL210" s="51"/>
      <c r="AM210" s="51"/>
      <c r="AN210" s="75">
        <f aca="true" t="shared" si="240" ref="AN210:BX210">AN211</f>
        <v>5378</v>
      </c>
      <c r="AO210" s="75">
        <f t="shared" si="240"/>
        <v>0</v>
      </c>
      <c r="AP210" s="75">
        <f t="shared" si="240"/>
        <v>0</v>
      </c>
      <c r="AQ210" s="75">
        <f t="shared" si="240"/>
        <v>0</v>
      </c>
      <c r="AR210" s="75">
        <f t="shared" si="240"/>
        <v>5378</v>
      </c>
      <c r="AS210" s="75">
        <f t="shared" si="240"/>
        <v>0</v>
      </c>
      <c r="AT210" s="76">
        <f t="shared" si="240"/>
        <v>0</v>
      </c>
      <c r="AU210" s="76">
        <f t="shared" si="240"/>
        <v>0</v>
      </c>
      <c r="AV210" s="76">
        <f t="shared" si="240"/>
        <v>0</v>
      </c>
      <c r="AW210" s="76">
        <f t="shared" si="240"/>
        <v>5378</v>
      </c>
      <c r="AX210" s="76">
        <f t="shared" si="240"/>
        <v>0</v>
      </c>
      <c r="AY210" s="75">
        <f t="shared" si="240"/>
        <v>0</v>
      </c>
      <c r="AZ210" s="75">
        <f t="shared" si="240"/>
        <v>0</v>
      </c>
      <c r="BA210" s="75">
        <f t="shared" si="240"/>
        <v>0</v>
      </c>
      <c r="BB210" s="75">
        <f t="shared" si="240"/>
        <v>0</v>
      </c>
      <c r="BC210" s="75">
        <f t="shared" si="240"/>
        <v>0</v>
      </c>
      <c r="BD210" s="75">
        <f t="shared" si="240"/>
        <v>5378</v>
      </c>
      <c r="BE210" s="75">
        <f t="shared" si="240"/>
        <v>0</v>
      </c>
      <c r="BF210" s="75">
        <f t="shared" si="240"/>
        <v>0</v>
      </c>
      <c r="BG210" s="75">
        <f t="shared" si="240"/>
        <v>0</v>
      </c>
      <c r="BH210" s="75">
        <f t="shared" si="240"/>
        <v>0</v>
      </c>
      <c r="BI210" s="75">
        <f t="shared" si="240"/>
        <v>5378</v>
      </c>
      <c r="BJ210" s="75">
        <f t="shared" si="240"/>
        <v>0</v>
      </c>
      <c r="BK210" s="75">
        <f t="shared" si="240"/>
        <v>0</v>
      </c>
      <c r="BL210" s="75">
        <f t="shared" si="240"/>
        <v>0</v>
      </c>
      <c r="BM210" s="75">
        <f t="shared" si="240"/>
        <v>0</v>
      </c>
      <c r="BN210" s="75">
        <f t="shared" si="240"/>
        <v>57000</v>
      </c>
      <c r="BO210" s="75">
        <f t="shared" si="240"/>
        <v>62378</v>
      </c>
      <c r="BP210" s="75">
        <f t="shared" si="240"/>
        <v>57000</v>
      </c>
      <c r="BQ210" s="75">
        <f t="shared" si="240"/>
        <v>0</v>
      </c>
      <c r="BR210" s="75"/>
      <c r="BS210" s="75">
        <f t="shared" si="240"/>
        <v>0</v>
      </c>
      <c r="BT210" s="75">
        <f t="shared" si="240"/>
        <v>0</v>
      </c>
      <c r="BU210" s="75">
        <f t="shared" si="240"/>
        <v>62378</v>
      </c>
      <c r="BV210" s="75">
        <f t="shared" si="240"/>
        <v>57000</v>
      </c>
      <c r="BW210" s="75">
        <f t="shared" si="240"/>
        <v>62378</v>
      </c>
      <c r="BX210" s="75">
        <f t="shared" si="240"/>
        <v>57000</v>
      </c>
      <c r="BY210" s="77">
        <f t="shared" si="177"/>
        <v>100</v>
      </c>
      <c r="BZ210" s="77">
        <f t="shared" si="177"/>
        <v>100</v>
      </c>
    </row>
    <row r="211" spans="1:78" ht="90" customHeight="1" hidden="1">
      <c r="A211" s="88" t="s">
        <v>359</v>
      </c>
      <c r="B211" s="89" t="s">
        <v>160</v>
      </c>
      <c r="C211" s="89" t="s">
        <v>128</v>
      </c>
      <c r="D211" s="144" t="s">
        <v>326</v>
      </c>
      <c r="E211" s="89" t="s">
        <v>145</v>
      </c>
      <c r="F211" s="50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2"/>
      <c r="T211" s="52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2"/>
      <c r="AG211" s="51"/>
      <c r="AH211" s="51"/>
      <c r="AI211" s="51"/>
      <c r="AJ211" s="51"/>
      <c r="AK211" s="51"/>
      <c r="AL211" s="51"/>
      <c r="AM211" s="51"/>
      <c r="AN211" s="75">
        <v>5378</v>
      </c>
      <c r="AO211" s="75"/>
      <c r="AP211" s="75"/>
      <c r="AQ211" s="75"/>
      <c r="AR211" s="75">
        <f>AL211+AN211+AO211+AP211+AQ211</f>
        <v>5378</v>
      </c>
      <c r="AS211" s="75">
        <f>AM211+AQ211</f>
        <v>0</v>
      </c>
      <c r="AT211" s="76"/>
      <c r="AU211" s="76"/>
      <c r="AV211" s="76"/>
      <c r="AW211" s="76">
        <f>AV211+AU211+AT211+AR211</f>
        <v>5378</v>
      </c>
      <c r="AX211" s="76">
        <f>AV211+AS211</f>
        <v>0</v>
      </c>
      <c r="AY211" s="52"/>
      <c r="AZ211" s="52"/>
      <c r="BA211" s="52"/>
      <c r="BB211" s="52"/>
      <c r="BC211" s="52"/>
      <c r="BD211" s="75">
        <f>AW211+AY211+AZ211+BA211+BB211+BC211</f>
        <v>5378</v>
      </c>
      <c r="BE211" s="75">
        <f>AX211+BC211</f>
        <v>0</v>
      </c>
      <c r="BF211" s="51"/>
      <c r="BG211" s="51"/>
      <c r="BH211" s="75"/>
      <c r="BI211" s="75">
        <f>BD211+BF211+BG211+BH211</f>
        <v>5378</v>
      </c>
      <c r="BJ211" s="75">
        <f>BE211+BH211</f>
        <v>0</v>
      </c>
      <c r="BK211" s="54"/>
      <c r="BL211" s="54"/>
      <c r="BM211" s="54"/>
      <c r="BN211" s="75">
        <v>57000</v>
      </c>
      <c r="BO211" s="75">
        <f>BI211+BK211+BL211+BM211+BN211</f>
        <v>62378</v>
      </c>
      <c r="BP211" s="75">
        <f>BJ211+BN211</f>
        <v>57000</v>
      </c>
      <c r="BQ211" s="51"/>
      <c r="BR211" s="51"/>
      <c r="BS211" s="51"/>
      <c r="BT211" s="51"/>
      <c r="BU211" s="75">
        <f>BO211+BQ211+BS211+BT211</f>
        <v>62378</v>
      </c>
      <c r="BV211" s="75">
        <f>BP211+BT211</f>
        <v>57000</v>
      </c>
      <c r="BW211" s="75">
        <v>62378</v>
      </c>
      <c r="BX211" s="75">
        <v>57000</v>
      </c>
      <c r="BY211" s="77">
        <f>BW211/BU211*100</f>
        <v>100</v>
      </c>
      <c r="BZ211" s="77">
        <f>BX211/BV211*100</f>
        <v>100</v>
      </c>
    </row>
    <row r="212" spans="1:78" ht="14.25" customHeight="1">
      <c r="A212" s="82"/>
      <c r="B212" s="89"/>
      <c r="C212" s="89"/>
      <c r="D212" s="144"/>
      <c r="E212" s="89"/>
      <c r="F212" s="50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2"/>
      <c r="T212" s="52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2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3"/>
      <c r="AU212" s="53"/>
      <c r="AV212" s="53"/>
      <c r="AW212" s="53"/>
      <c r="AX212" s="53"/>
      <c r="AY212" s="52"/>
      <c r="AZ212" s="52"/>
      <c r="BA212" s="52"/>
      <c r="BB212" s="52"/>
      <c r="BC212" s="52"/>
      <c r="BD212" s="54"/>
      <c r="BE212" s="54"/>
      <c r="BF212" s="51"/>
      <c r="BG212" s="51"/>
      <c r="BH212" s="51"/>
      <c r="BI212" s="51"/>
      <c r="BJ212" s="51"/>
      <c r="BK212" s="54"/>
      <c r="BL212" s="54"/>
      <c r="BM212" s="54"/>
      <c r="BN212" s="54"/>
      <c r="BO212" s="54"/>
      <c r="BP212" s="54"/>
      <c r="BQ212" s="51"/>
      <c r="BR212" s="51"/>
      <c r="BS212" s="51"/>
      <c r="BT212" s="51"/>
      <c r="BU212" s="51"/>
      <c r="BV212" s="51"/>
      <c r="BW212" s="51"/>
      <c r="BX212" s="51"/>
      <c r="BY212" s="72"/>
      <c r="BZ212" s="72"/>
    </row>
    <row r="213" spans="1:78" s="16" customFormat="1" ht="20.25" customHeight="1">
      <c r="A213" s="145" t="s">
        <v>162</v>
      </c>
      <c r="B213" s="67" t="s">
        <v>160</v>
      </c>
      <c r="C213" s="67" t="s">
        <v>132</v>
      </c>
      <c r="D213" s="85"/>
      <c r="E213" s="67"/>
      <c r="F213" s="86">
        <f aca="true" t="shared" si="241" ref="F213:M213">F214+F231</f>
        <v>647413</v>
      </c>
      <c r="G213" s="86">
        <f t="shared" si="241"/>
        <v>400815</v>
      </c>
      <c r="H213" s="86">
        <f t="shared" si="241"/>
        <v>1048228</v>
      </c>
      <c r="I213" s="86">
        <f t="shared" si="241"/>
        <v>0</v>
      </c>
      <c r="J213" s="86">
        <f t="shared" si="241"/>
        <v>-30000</v>
      </c>
      <c r="K213" s="86">
        <f t="shared" si="241"/>
        <v>0</v>
      </c>
      <c r="L213" s="86">
        <f t="shared" si="241"/>
        <v>0</v>
      </c>
      <c r="M213" s="86">
        <f t="shared" si="241"/>
        <v>1018228</v>
      </c>
      <c r="N213" s="86">
        <f aca="true" t="shared" si="242" ref="N213:S213">N214+N231</f>
        <v>0</v>
      </c>
      <c r="O213" s="86">
        <f t="shared" si="242"/>
        <v>-283</v>
      </c>
      <c r="P213" s="86">
        <f t="shared" si="242"/>
        <v>0</v>
      </c>
      <c r="Q213" s="86">
        <f t="shared" si="242"/>
        <v>0</v>
      </c>
      <c r="R213" s="86">
        <f t="shared" si="242"/>
        <v>0</v>
      </c>
      <c r="S213" s="86">
        <f t="shared" si="242"/>
        <v>1017945</v>
      </c>
      <c r="T213" s="86">
        <f aca="true" t="shared" si="243" ref="T213:AB213">T214+T231</f>
        <v>0</v>
      </c>
      <c r="U213" s="86">
        <f t="shared" si="243"/>
        <v>0</v>
      </c>
      <c r="V213" s="86">
        <f t="shared" si="243"/>
        <v>0</v>
      </c>
      <c r="W213" s="86">
        <f t="shared" si="243"/>
        <v>0</v>
      </c>
      <c r="X213" s="86">
        <f t="shared" si="243"/>
        <v>0</v>
      </c>
      <c r="Y213" s="86">
        <f t="shared" si="243"/>
        <v>-24961</v>
      </c>
      <c r="Z213" s="86">
        <f t="shared" si="243"/>
        <v>0</v>
      </c>
      <c r="AA213" s="86">
        <f t="shared" si="243"/>
        <v>0</v>
      </c>
      <c r="AB213" s="86">
        <f t="shared" si="243"/>
        <v>992984</v>
      </c>
      <c r="AC213" s="86">
        <f aca="true" t="shared" si="244" ref="AC213:AI213">AC214+AC231</f>
        <v>0</v>
      </c>
      <c r="AD213" s="86">
        <f t="shared" si="244"/>
        <v>0</v>
      </c>
      <c r="AE213" s="86">
        <f t="shared" si="244"/>
        <v>0</v>
      </c>
      <c r="AF213" s="86">
        <f t="shared" si="244"/>
        <v>-204979</v>
      </c>
      <c r="AG213" s="86">
        <f t="shared" si="244"/>
        <v>0</v>
      </c>
      <c r="AH213" s="86">
        <f t="shared" si="244"/>
        <v>0</v>
      </c>
      <c r="AI213" s="86">
        <f t="shared" si="244"/>
        <v>788005</v>
      </c>
      <c r="AJ213" s="86">
        <f>AJ214+AJ231</f>
        <v>0</v>
      </c>
      <c r="AK213" s="86">
        <f>AK214+AK231</f>
        <v>0</v>
      </c>
      <c r="AL213" s="86">
        <f>AL214+AL231</f>
        <v>788005</v>
      </c>
      <c r="AM213" s="86">
        <f aca="true" t="shared" si="245" ref="AM213:AS213">AM214+AM231</f>
        <v>0</v>
      </c>
      <c r="AN213" s="86">
        <f t="shared" si="245"/>
        <v>-4097</v>
      </c>
      <c r="AO213" s="86">
        <f>AO214+AO231</f>
        <v>0</v>
      </c>
      <c r="AP213" s="86">
        <f t="shared" si="245"/>
        <v>0</v>
      </c>
      <c r="AQ213" s="86">
        <f t="shared" si="245"/>
        <v>0</v>
      </c>
      <c r="AR213" s="86">
        <f t="shared" si="245"/>
        <v>783908</v>
      </c>
      <c r="AS213" s="86">
        <f t="shared" si="245"/>
        <v>0</v>
      </c>
      <c r="AT213" s="87">
        <f>AT214+AT231</f>
        <v>-3559</v>
      </c>
      <c r="AU213" s="87">
        <f>AU214+AU231</f>
        <v>0</v>
      </c>
      <c r="AV213" s="87">
        <f>AV214+AV231</f>
        <v>0</v>
      </c>
      <c r="AW213" s="87">
        <f>AW214+AW231</f>
        <v>780349</v>
      </c>
      <c r="AX213" s="87">
        <f aca="true" t="shared" si="246" ref="AX213:BD213">AX214+AX231</f>
        <v>0</v>
      </c>
      <c r="AY213" s="86">
        <f t="shared" si="246"/>
        <v>-147943</v>
      </c>
      <c r="AZ213" s="86">
        <f t="shared" si="246"/>
        <v>7147</v>
      </c>
      <c r="BA213" s="86">
        <f>BA214+BA231</f>
        <v>450</v>
      </c>
      <c r="BB213" s="86">
        <f>BB214+BB231</f>
        <v>0</v>
      </c>
      <c r="BC213" s="86">
        <f t="shared" si="246"/>
        <v>0</v>
      </c>
      <c r="BD213" s="86">
        <f t="shared" si="246"/>
        <v>640003</v>
      </c>
      <c r="BE213" s="86">
        <f>BE214+BE231</f>
        <v>0</v>
      </c>
      <c r="BF213" s="86">
        <f>BF214+BF231</f>
        <v>0</v>
      </c>
      <c r="BG213" s="86">
        <f>BG214+BG231</f>
        <v>0</v>
      </c>
      <c r="BH213" s="86">
        <f>BH214+BH231</f>
        <v>0</v>
      </c>
      <c r="BI213" s="86">
        <f>BI214+BI231</f>
        <v>640003</v>
      </c>
      <c r="BJ213" s="86">
        <f aca="true" t="shared" si="247" ref="BJ213:BP213">BJ214+BJ231</f>
        <v>0</v>
      </c>
      <c r="BK213" s="86">
        <f t="shared" si="247"/>
        <v>0</v>
      </c>
      <c r="BL213" s="86">
        <f t="shared" si="247"/>
        <v>0</v>
      </c>
      <c r="BM213" s="86">
        <f t="shared" si="247"/>
        <v>0</v>
      </c>
      <c r="BN213" s="86">
        <f t="shared" si="247"/>
        <v>0</v>
      </c>
      <c r="BO213" s="86">
        <f t="shared" si="247"/>
        <v>640003</v>
      </c>
      <c r="BP213" s="86">
        <f t="shared" si="247"/>
        <v>0</v>
      </c>
      <c r="BQ213" s="86">
        <f aca="true" t="shared" si="248" ref="BQ213:BV213">BQ214+BQ231</f>
        <v>-222</v>
      </c>
      <c r="BR213" s="86">
        <f t="shared" si="248"/>
        <v>0</v>
      </c>
      <c r="BS213" s="86">
        <f t="shared" si="248"/>
        <v>12663</v>
      </c>
      <c r="BT213" s="86">
        <f t="shared" si="248"/>
        <v>56000</v>
      </c>
      <c r="BU213" s="86">
        <f t="shared" si="248"/>
        <v>708444</v>
      </c>
      <c r="BV213" s="86">
        <f t="shared" si="248"/>
        <v>56000</v>
      </c>
      <c r="BW213" s="86">
        <f>BW214+BW231</f>
        <v>683848</v>
      </c>
      <c r="BX213" s="86">
        <f>BX214+BX231</f>
        <v>56000</v>
      </c>
      <c r="BY213" s="71">
        <f aca="true" t="shared" si="249" ref="BY213:BZ274">BW213/BU213*100</f>
        <v>96.52816595242531</v>
      </c>
      <c r="BZ213" s="71">
        <f>BX213/BV213*100</f>
        <v>100</v>
      </c>
    </row>
    <row r="214" spans="1:78" s="16" customFormat="1" ht="28.5" customHeight="1" hidden="1">
      <c r="A214" s="146" t="s">
        <v>162</v>
      </c>
      <c r="B214" s="89" t="s">
        <v>160</v>
      </c>
      <c r="C214" s="89" t="s">
        <v>132</v>
      </c>
      <c r="D214" s="147" t="s">
        <v>119</v>
      </c>
      <c r="E214" s="89"/>
      <c r="F214" s="91">
        <f>F215+F216+F219+F221+F223+F225</f>
        <v>647413</v>
      </c>
      <c r="G214" s="91">
        <f aca="true" t="shared" si="250" ref="G214:M214">G215+G216+G219+G221+G223+G225+G227</f>
        <v>396422</v>
      </c>
      <c r="H214" s="91">
        <f t="shared" si="250"/>
        <v>1043835</v>
      </c>
      <c r="I214" s="91">
        <f t="shared" si="250"/>
        <v>0</v>
      </c>
      <c r="J214" s="91">
        <f t="shared" si="250"/>
        <v>-30000</v>
      </c>
      <c r="K214" s="91">
        <f t="shared" si="250"/>
        <v>0</v>
      </c>
      <c r="L214" s="91">
        <f t="shared" si="250"/>
        <v>0</v>
      </c>
      <c r="M214" s="91">
        <f t="shared" si="250"/>
        <v>1013835</v>
      </c>
      <c r="N214" s="91">
        <f aca="true" t="shared" si="251" ref="N214:S214">N215+N216+N219+N221+N223+N225+N227</f>
        <v>0</v>
      </c>
      <c r="O214" s="91">
        <f t="shared" si="251"/>
        <v>-283</v>
      </c>
      <c r="P214" s="91"/>
      <c r="Q214" s="91">
        <f t="shared" si="251"/>
        <v>0</v>
      </c>
      <c r="R214" s="91">
        <f t="shared" si="251"/>
        <v>0</v>
      </c>
      <c r="S214" s="91">
        <f t="shared" si="251"/>
        <v>1013552</v>
      </c>
      <c r="T214" s="91">
        <f aca="true" t="shared" si="252" ref="T214:AB214">T215+T216+T219+T221+T223+T225+T227</f>
        <v>0</v>
      </c>
      <c r="U214" s="91">
        <f t="shared" si="252"/>
        <v>0</v>
      </c>
      <c r="V214" s="91">
        <f t="shared" si="252"/>
        <v>0</v>
      </c>
      <c r="W214" s="91">
        <f t="shared" si="252"/>
        <v>0</v>
      </c>
      <c r="X214" s="91">
        <f t="shared" si="252"/>
        <v>0</v>
      </c>
      <c r="Y214" s="91">
        <f t="shared" si="252"/>
        <v>-24961</v>
      </c>
      <c r="Z214" s="91">
        <f t="shared" si="252"/>
        <v>0</v>
      </c>
      <c r="AA214" s="91">
        <f t="shared" si="252"/>
        <v>0</v>
      </c>
      <c r="AB214" s="91">
        <f t="shared" si="252"/>
        <v>988591</v>
      </c>
      <c r="AC214" s="91">
        <f aca="true" t="shared" si="253" ref="AC214:AI214">AC215+AC216+AC219+AC221+AC223+AC225+AC227</f>
        <v>0</v>
      </c>
      <c r="AD214" s="91">
        <f t="shared" si="253"/>
        <v>0</v>
      </c>
      <c r="AE214" s="91">
        <f t="shared" si="253"/>
        <v>0</v>
      </c>
      <c r="AF214" s="91">
        <f t="shared" si="253"/>
        <v>-205079</v>
      </c>
      <c r="AG214" s="91">
        <f t="shared" si="253"/>
        <v>0</v>
      </c>
      <c r="AH214" s="91">
        <f t="shared" si="253"/>
        <v>0</v>
      </c>
      <c r="AI214" s="91">
        <f t="shared" si="253"/>
        <v>783512</v>
      </c>
      <c r="AJ214" s="91">
        <f>AJ215+AJ216+AJ219+AJ221+AJ223+AJ225+AJ227</f>
        <v>0</v>
      </c>
      <c r="AK214" s="91">
        <f>AK215+AK216+AK219+AK221+AK223+AK225+AK227</f>
        <v>0</v>
      </c>
      <c r="AL214" s="91">
        <f>AL215+AL216+AL219+AL221+AL223+AL225+AL227</f>
        <v>783512</v>
      </c>
      <c r="AM214" s="91">
        <f aca="true" t="shared" si="254" ref="AM214:AS214">AM215+AM216+AM219+AM221+AM223+AM225+AM227</f>
        <v>0</v>
      </c>
      <c r="AN214" s="91">
        <f t="shared" si="254"/>
        <v>-4097</v>
      </c>
      <c r="AO214" s="91">
        <f>AO215+AO216+AO219+AO221+AO223+AO225+AO227</f>
        <v>0</v>
      </c>
      <c r="AP214" s="91">
        <f t="shared" si="254"/>
        <v>0</v>
      </c>
      <c r="AQ214" s="91">
        <f t="shared" si="254"/>
        <v>0</v>
      </c>
      <c r="AR214" s="91">
        <f t="shared" si="254"/>
        <v>779415</v>
      </c>
      <c r="AS214" s="91">
        <f t="shared" si="254"/>
        <v>0</v>
      </c>
      <c r="AT214" s="92">
        <f>AT215+AT216+AT219+AT221+AT223+AT225+AT227</f>
        <v>-23531</v>
      </c>
      <c r="AU214" s="92">
        <f>AU215+AU216+AU219+AU221+AU223+AU225+AU227</f>
        <v>0</v>
      </c>
      <c r="AV214" s="92">
        <f>AV215+AV216+AV219+AV221+AV223+AV225+AV227</f>
        <v>0</v>
      </c>
      <c r="AW214" s="92">
        <f>AW215+AW216+AW219+AW221+AW223+AW225+AW227</f>
        <v>755884</v>
      </c>
      <c r="AX214" s="92">
        <f aca="true" t="shared" si="255" ref="AX214:BD214">AX215+AX216+AX219+AX221+AX223+AX225+AX227</f>
        <v>0</v>
      </c>
      <c r="AY214" s="91">
        <f t="shared" si="255"/>
        <v>-145550</v>
      </c>
      <c r="AZ214" s="91">
        <f t="shared" si="255"/>
        <v>7147</v>
      </c>
      <c r="BA214" s="91">
        <f>BA215+BA216+BA219+BA221+BA223+BA225+BA227</f>
        <v>450</v>
      </c>
      <c r="BB214" s="91">
        <f>BB215+BB216+BB219+BB221+BB223+BB225+BB227</f>
        <v>0</v>
      </c>
      <c r="BC214" s="91">
        <f t="shared" si="255"/>
        <v>0</v>
      </c>
      <c r="BD214" s="91">
        <f t="shared" si="255"/>
        <v>617931</v>
      </c>
      <c r="BE214" s="91">
        <f>BE215+BE216+BE219+BE221+BE223+BE225+BE227</f>
        <v>0</v>
      </c>
      <c r="BF214" s="91">
        <f>BF215+BF216+BF219+BF221+BF223+BF225+BF227</f>
        <v>0</v>
      </c>
      <c r="BG214" s="91">
        <f>BG215+BG216+BG219+BG221+BG223+BG225+BG227</f>
        <v>0</v>
      </c>
      <c r="BH214" s="91">
        <f>BH215+BH216+BH219+BH221+BH223+BH225+BH227</f>
        <v>0</v>
      </c>
      <c r="BI214" s="91">
        <f>BI215+BI216+BI219+BI221+BI223+BI225+BI227</f>
        <v>617931</v>
      </c>
      <c r="BJ214" s="91">
        <f aca="true" t="shared" si="256" ref="BJ214:BP214">BJ215+BJ216+BJ219+BJ221+BJ223+BJ225+BJ227</f>
        <v>0</v>
      </c>
      <c r="BK214" s="91">
        <f t="shared" si="256"/>
        <v>0</v>
      </c>
      <c r="BL214" s="91">
        <f t="shared" si="256"/>
        <v>0</v>
      </c>
      <c r="BM214" s="91">
        <f t="shared" si="256"/>
        <v>0</v>
      </c>
      <c r="BN214" s="91">
        <f t="shared" si="256"/>
        <v>0</v>
      </c>
      <c r="BO214" s="91">
        <f t="shared" si="256"/>
        <v>617931</v>
      </c>
      <c r="BP214" s="91">
        <f t="shared" si="256"/>
        <v>0</v>
      </c>
      <c r="BQ214" s="91">
        <f aca="true" t="shared" si="257" ref="BQ214:BV214">BQ215+BQ216+BQ219+BQ221+BQ223+BQ225+BQ227+BQ229</f>
        <v>-222</v>
      </c>
      <c r="BR214" s="91">
        <f t="shared" si="257"/>
        <v>0</v>
      </c>
      <c r="BS214" s="91">
        <f t="shared" si="257"/>
        <v>14813</v>
      </c>
      <c r="BT214" s="91">
        <f t="shared" si="257"/>
        <v>56000</v>
      </c>
      <c r="BU214" s="91">
        <f t="shared" si="257"/>
        <v>688522</v>
      </c>
      <c r="BV214" s="91">
        <f t="shared" si="257"/>
        <v>56000</v>
      </c>
      <c r="BW214" s="91">
        <f>BW215+BW216+BW219+BW221+BW223+BW225+BW227+BW229</f>
        <v>667951</v>
      </c>
      <c r="BX214" s="91">
        <f>BX215+BX216+BX219+BX221+BX223+BX225+BX227+BX229</f>
        <v>56000</v>
      </c>
      <c r="BY214" s="77">
        <f t="shared" si="249"/>
        <v>97.01229590339886</v>
      </c>
      <c r="BZ214" s="77">
        <f t="shared" si="249"/>
        <v>100</v>
      </c>
    </row>
    <row r="215" spans="1:78" s="16" customFormat="1" ht="67.5" customHeight="1" hidden="1">
      <c r="A215" s="143" t="s">
        <v>138</v>
      </c>
      <c r="B215" s="89" t="s">
        <v>160</v>
      </c>
      <c r="C215" s="89" t="s">
        <v>132</v>
      </c>
      <c r="D215" s="147" t="s">
        <v>119</v>
      </c>
      <c r="E215" s="89" t="s">
        <v>139</v>
      </c>
      <c r="F215" s="75">
        <v>607117</v>
      </c>
      <c r="G215" s="75">
        <f>H215-F215</f>
        <v>386255</v>
      </c>
      <c r="H215" s="75">
        <v>993372</v>
      </c>
      <c r="I215" s="78"/>
      <c r="J215" s="75">
        <v>-30000</v>
      </c>
      <c r="K215" s="94"/>
      <c r="L215" s="94"/>
      <c r="M215" s="75">
        <f>H215+J215+K215+L215</f>
        <v>963372</v>
      </c>
      <c r="N215" s="78">
        <f>I215+L215</f>
        <v>0</v>
      </c>
      <c r="O215" s="78">
        <v>-283</v>
      </c>
      <c r="P215" s="78"/>
      <c r="Q215" s="94"/>
      <c r="R215" s="94"/>
      <c r="S215" s="75">
        <f>M215+O215+P215+Q215+R215</f>
        <v>963089</v>
      </c>
      <c r="T215" s="75">
        <f>N215+R215</f>
        <v>0</v>
      </c>
      <c r="U215" s="94"/>
      <c r="V215" s="94"/>
      <c r="W215" s="94"/>
      <c r="X215" s="94"/>
      <c r="Y215" s="75">
        <v>-24961</v>
      </c>
      <c r="Z215" s="94"/>
      <c r="AA215" s="94"/>
      <c r="AB215" s="75">
        <f>S215+U215+V215+W215+X215+Y215+Z215+AA215</f>
        <v>938128</v>
      </c>
      <c r="AC215" s="75">
        <f>T215+Z215+AA215</f>
        <v>0</v>
      </c>
      <c r="AD215" s="94"/>
      <c r="AE215" s="94"/>
      <c r="AF215" s="75">
        <f>-198476-5689</f>
        <v>-204165</v>
      </c>
      <c r="AG215" s="94"/>
      <c r="AH215" s="94"/>
      <c r="AI215" s="75">
        <f>AB215+AD215+AE215+AF215+AG215+AH215</f>
        <v>733963</v>
      </c>
      <c r="AJ215" s="75">
        <f>AC215+AH215</f>
        <v>0</v>
      </c>
      <c r="AK215" s="94"/>
      <c r="AL215" s="75">
        <f>AI215+AK215</f>
        <v>733963</v>
      </c>
      <c r="AM215" s="75">
        <f>AJ215</f>
        <v>0</v>
      </c>
      <c r="AN215" s="75">
        <f>-14159-804-1000</f>
        <v>-15963</v>
      </c>
      <c r="AO215" s="75"/>
      <c r="AP215" s="94"/>
      <c r="AQ215" s="94"/>
      <c r="AR215" s="75">
        <f>AL215+AN215+AO215+AP215+AQ215</f>
        <v>718000</v>
      </c>
      <c r="AS215" s="75">
        <f>AM215+AQ215</f>
        <v>0</v>
      </c>
      <c r="AT215" s="81">
        <v>-23531</v>
      </c>
      <c r="AU215" s="97"/>
      <c r="AV215" s="97"/>
      <c r="AW215" s="76">
        <f>AV215+AU215+AT215+AR215</f>
        <v>694469</v>
      </c>
      <c r="AX215" s="76">
        <f>AV215+AS215</f>
        <v>0</v>
      </c>
      <c r="AY215" s="75">
        <v>-133684</v>
      </c>
      <c r="AZ215" s="75">
        <v>8200</v>
      </c>
      <c r="BA215" s="75">
        <v>450</v>
      </c>
      <c r="BB215" s="75"/>
      <c r="BC215" s="96"/>
      <c r="BD215" s="75">
        <f>AW215+AY215+AZ215+BA215+BB215+BC215</f>
        <v>569435</v>
      </c>
      <c r="BE215" s="75">
        <f>AX215+BC215</f>
        <v>0</v>
      </c>
      <c r="BF215" s="94"/>
      <c r="BG215" s="94"/>
      <c r="BH215" s="94"/>
      <c r="BI215" s="75">
        <f>BD215+BF215+BG215+BH215</f>
        <v>569435</v>
      </c>
      <c r="BJ215" s="75">
        <f>BE215+BH215</f>
        <v>0</v>
      </c>
      <c r="BK215" s="98"/>
      <c r="BL215" s="98"/>
      <c r="BM215" s="98"/>
      <c r="BN215" s="98"/>
      <c r="BO215" s="75">
        <f>BI215+BK215+BL215+BM215+BN215</f>
        <v>569435</v>
      </c>
      <c r="BP215" s="75">
        <f>BJ215+BN215</f>
        <v>0</v>
      </c>
      <c r="BQ215" s="78">
        <v>-222</v>
      </c>
      <c r="BR215" s="75"/>
      <c r="BS215" s="75">
        <v>-1472</v>
      </c>
      <c r="BT215" s="94"/>
      <c r="BU215" s="75">
        <f>BO215+BQ215+BR215+BS215+BT215</f>
        <v>567741</v>
      </c>
      <c r="BV215" s="75">
        <f>BP215+BT215</f>
        <v>0</v>
      </c>
      <c r="BW215" s="75">
        <v>557154</v>
      </c>
      <c r="BX215" s="75">
        <f>BR215+BV215</f>
        <v>0</v>
      </c>
      <c r="BY215" s="77">
        <f t="shared" si="249"/>
        <v>98.13524124556795</v>
      </c>
      <c r="BZ215" s="72"/>
    </row>
    <row r="216" spans="1:78" s="14" customFormat="1" ht="98.25" customHeight="1" hidden="1">
      <c r="A216" s="142" t="s">
        <v>387</v>
      </c>
      <c r="B216" s="89" t="s">
        <v>160</v>
      </c>
      <c r="C216" s="89" t="s">
        <v>132</v>
      </c>
      <c r="D216" s="147" t="s">
        <v>206</v>
      </c>
      <c r="E216" s="89"/>
      <c r="F216" s="91">
        <f>F217</f>
        <v>1832</v>
      </c>
      <c r="G216" s="91">
        <f>G217</f>
        <v>-1832</v>
      </c>
      <c r="H216" s="91">
        <f>H217</f>
        <v>0</v>
      </c>
      <c r="I216" s="91">
        <f aca="true" t="shared" si="258" ref="I216:N216">I217</f>
        <v>0</v>
      </c>
      <c r="J216" s="91">
        <f t="shared" si="258"/>
        <v>0</v>
      </c>
      <c r="K216" s="91">
        <f t="shared" si="258"/>
        <v>0</v>
      </c>
      <c r="L216" s="91">
        <f t="shared" si="258"/>
        <v>0</v>
      </c>
      <c r="M216" s="91">
        <f t="shared" si="258"/>
        <v>0</v>
      </c>
      <c r="N216" s="91">
        <f t="shared" si="258"/>
        <v>0</v>
      </c>
      <c r="O216" s="79"/>
      <c r="P216" s="79"/>
      <c r="Q216" s="79"/>
      <c r="R216" s="79"/>
      <c r="S216" s="75"/>
      <c r="T216" s="75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5"/>
      <c r="AG216" s="79"/>
      <c r="AH216" s="79"/>
      <c r="AI216" s="79"/>
      <c r="AJ216" s="79"/>
      <c r="AK216" s="79"/>
      <c r="AL216" s="79"/>
      <c r="AM216" s="79"/>
      <c r="AN216" s="75">
        <f aca="true" t="shared" si="259" ref="AN216:AS216">AN217+AN218</f>
        <v>11866</v>
      </c>
      <c r="AO216" s="75">
        <f t="shared" si="259"/>
        <v>0</v>
      </c>
      <c r="AP216" s="75">
        <f t="shared" si="259"/>
        <v>0</v>
      </c>
      <c r="AQ216" s="75">
        <f t="shared" si="259"/>
        <v>0</v>
      </c>
      <c r="AR216" s="75">
        <f t="shared" si="259"/>
        <v>11866</v>
      </c>
      <c r="AS216" s="75">
        <f t="shared" si="259"/>
        <v>0</v>
      </c>
      <c r="AT216" s="76">
        <f>AT217+AT218</f>
        <v>0</v>
      </c>
      <c r="AU216" s="76">
        <f>AU217+AU218</f>
        <v>0</v>
      </c>
      <c r="AV216" s="76">
        <f>AV217+AV218</f>
        <v>0</v>
      </c>
      <c r="AW216" s="76">
        <f>AW217+AW218</f>
        <v>11866</v>
      </c>
      <c r="AX216" s="76">
        <f aca="true" t="shared" si="260" ref="AX216:BE216">AX217+AX218</f>
        <v>0</v>
      </c>
      <c r="AY216" s="75">
        <f t="shared" si="260"/>
        <v>-11866</v>
      </c>
      <c r="AZ216" s="75">
        <f t="shared" si="260"/>
        <v>0</v>
      </c>
      <c r="BA216" s="75"/>
      <c r="BB216" s="75"/>
      <c r="BC216" s="75">
        <f t="shared" si="260"/>
        <v>0</v>
      </c>
      <c r="BD216" s="75">
        <f t="shared" si="260"/>
        <v>0</v>
      </c>
      <c r="BE216" s="75">
        <f t="shared" si="260"/>
        <v>0</v>
      </c>
      <c r="BF216" s="79"/>
      <c r="BG216" s="79"/>
      <c r="BH216" s="79"/>
      <c r="BI216" s="79"/>
      <c r="BJ216" s="79"/>
      <c r="BK216" s="78"/>
      <c r="BL216" s="78"/>
      <c r="BM216" s="78"/>
      <c r="BN216" s="78"/>
      <c r="BO216" s="78"/>
      <c r="BP216" s="78"/>
      <c r="BQ216" s="79">
        <f>BQ218</f>
        <v>0</v>
      </c>
      <c r="BR216" s="79"/>
      <c r="BS216" s="75">
        <f aca="true" t="shared" si="261" ref="BS216:BX216">BS218</f>
        <v>13338</v>
      </c>
      <c r="BT216" s="75">
        <f t="shared" si="261"/>
        <v>0</v>
      </c>
      <c r="BU216" s="75">
        <f t="shared" si="261"/>
        <v>13338</v>
      </c>
      <c r="BV216" s="75">
        <f t="shared" si="261"/>
        <v>0</v>
      </c>
      <c r="BW216" s="75">
        <f t="shared" si="261"/>
        <v>13338</v>
      </c>
      <c r="BX216" s="75">
        <f t="shared" si="261"/>
        <v>0</v>
      </c>
      <c r="BY216" s="77">
        <f t="shared" si="249"/>
        <v>100</v>
      </c>
      <c r="BZ216" s="72"/>
    </row>
    <row r="217" spans="1:78" s="14" customFormat="1" ht="18.75" customHeight="1" hidden="1">
      <c r="A217" s="143" t="s">
        <v>403</v>
      </c>
      <c r="B217" s="89" t="s">
        <v>160</v>
      </c>
      <c r="C217" s="89" t="s">
        <v>132</v>
      </c>
      <c r="D217" s="147" t="s">
        <v>206</v>
      </c>
      <c r="E217" s="89" t="s">
        <v>145</v>
      </c>
      <c r="F217" s="75">
        <v>1832</v>
      </c>
      <c r="G217" s="75">
        <f>H217-F217</f>
        <v>-1832</v>
      </c>
      <c r="H217" s="75">
        <f>2752-2752</f>
        <v>0</v>
      </c>
      <c r="I217" s="79"/>
      <c r="J217" s="79"/>
      <c r="K217" s="79"/>
      <c r="L217" s="79"/>
      <c r="M217" s="75">
        <f>H217+J217+K217+L217</f>
        <v>0</v>
      </c>
      <c r="N217" s="78">
        <f>I217+L217</f>
        <v>0</v>
      </c>
      <c r="O217" s="79"/>
      <c r="P217" s="79"/>
      <c r="Q217" s="79"/>
      <c r="R217" s="79"/>
      <c r="S217" s="75"/>
      <c r="T217" s="75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79"/>
      <c r="AF217" s="75"/>
      <c r="AG217" s="79"/>
      <c r="AH217" s="79"/>
      <c r="AI217" s="79"/>
      <c r="AJ217" s="79"/>
      <c r="AK217" s="79"/>
      <c r="AL217" s="79"/>
      <c r="AM217" s="79"/>
      <c r="AN217" s="75"/>
      <c r="AO217" s="75"/>
      <c r="AP217" s="75"/>
      <c r="AQ217" s="75"/>
      <c r="AR217" s="75"/>
      <c r="AS217" s="75"/>
      <c r="AT217" s="76"/>
      <c r="AU217" s="76"/>
      <c r="AV217" s="76"/>
      <c r="AW217" s="76"/>
      <c r="AX217" s="76"/>
      <c r="AY217" s="75"/>
      <c r="AZ217" s="75"/>
      <c r="BA217" s="75"/>
      <c r="BB217" s="75"/>
      <c r="BC217" s="75"/>
      <c r="BD217" s="78"/>
      <c r="BE217" s="78"/>
      <c r="BF217" s="79"/>
      <c r="BG217" s="79"/>
      <c r="BH217" s="79"/>
      <c r="BI217" s="79"/>
      <c r="BJ217" s="79"/>
      <c r="BK217" s="78"/>
      <c r="BL217" s="78"/>
      <c r="BM217" s="78"/>
      <c r="BN217" s="78"/>
      <c r="BO217" s="78"/>
      <c r="BP217" s="78"/>
      <c r="BQ217" s="79"/>
      <c r="BR217" s="79"/>
      <c r="BS217" s="75"/>
      <c r="BT217" s="75"/>
      <c r="BU217" s="75"/>
      <c r="BV217" s="75"/>
      <c r="BW217" s="75"/>
      <c r="BX217" s="75"/>
      <c r="BY217" s="77" t="e">
        <f t="shared" si="249"/>
        <v>#DIV/0!</v>
      </c>
      <c r="BZ217" s="72"/>
    </row>
    <row r="218" spans="1:78" s="14" customFormat="1" ht="81.75" customHeight="1" hidden="1">
      <c r="A218" s="143" t="s">
        <v>270</v>
      </c>
      <c r="B218" s="89" t="s">
        <v>160</v>
      </c>
      <c r="C218" s="89" t="s">
        <v>132</v>
      </c>
      <c r="D218" s="147" t="s">
        <v>206</v>
      </c>
      <c r="E218" s="89" t="s">
        <v>271</v>
      </c>
      <c r="F218" s="75"/>
      <c r="G218" s="75"/>
      <c r="H218" s="75"/>
      <c r="I218" s="79"/>
      <c r="J218" s="79"/>
      <c r="K218" s="79"/>
      <c r="L218" s="79"/>
      <c r="M218" s="75"/>
      <c r="N218" s="78"/>
      <c r="O218" s="79"/>
      <c r="P218" s="79"/>
      <c r="Q218" s="79"/>
      <c r="R218" s="79"/>
      <c r="S218" s="75"/>
      <c r="T218" s="75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5"/>
      <c r="AG218" s="79"/>
      <c r="AH218" s="79"/>
      <c r="AI218" s="79"/>
      <c r="AJ218" s="79"/>
      <c r="AK218" s="79"/>
      <c r="AL218" s="79"/>
      <c r="AM218" s="79"/>
      <c r="AN218" s="75">
        <f>11866</f>
        <v>11866</v>
      </c>
      <c r="AO218" s="75"/>
      <c r="AP218" s="75"/>
      <c r="AQ218" s="75"/>
      <c r="AR218" s="75">
        <f>AL218+AN218+AO218+AP218+AQ218</f>
        <v>11866</v>
      </c>
      <c r="AS218" s="75">
        <f>AM218+AQ218</f>
        <v>0</v>
      </c>
      <c r="AT218" s="76"/>
      <c r="AU218" s="76"/>
      <c r="AV218" s="76"/>
      <c r="AW218" s="76">
        <f>AV218+AU218+AT218+AR218</f>
        <v>11866</v>
      </c>
      <c r="AX218" s="76">
        <f>AV218+AS218</f>
        <v>0</v>
      </c>
      <c r="AY218" s="75">
        <v>-11866</v>
      </c>
      <c r="AZ218" s="75"/>
      <c r="BA218" s="75"/>
      <c r="BB218" s="75"/>
      <c r="BC218" s="75"/>
      <c r="BD218" s="75">
        <f>AW218+AY218+AZ218+BC218</f>
        <v>0</v>
      </c>
      <c r="BE218" s="75">
        <f>AX218+BC218</f>
        <v>0</v>
      </c>
      <c r="BF218" s="79"/>
      <c r="BG218" s="79"/>
      <c r="BH218" s="79"/>
      <c r="BI218" s="79"/>
      <c r="BJ218" s="79"/>
      <c r="BK218" s="78"/>
      <c r="BL218" s="78"/>
      <c r="BM218" s="78"/>
      <c r="BN218" s="78"/>
      <c r="BO218" s="78"/>
      <c r="BP218" s="78"/>
      <c r="BQ218" s="79"/>
      <c r="BR218" s="79"/>
      <c r="BS218" s="75">
        <f>11866+1472</f>
        <v>13338</v>
      </c>
      <c r="BT218" s="75"/>
      <c r="BU218" s="75">
        <f>BO218+BQ218+BS218+BT218</f>
        <v>13338</v>
      </c>
      <c r="BV218" s="75">
        <f>BP218+BT218</f>
        <v>0</v>
      </c>
      <c r="BW218" s="75">
        <v>13338</v>
      </c>
      <c r="BX218" s="75">
        <f>BR218+BV218</f>
        <v>0</v>
      </c>
      <c r="BY218" s="77">
        <f t="shared" si="249"/>
        <v>100</v>
      </c>
      <c r="BZ218" s="72"/>
    </row>
    <row r="219" spans="1:78" s="14" customFormat="1" ht="17.25" customHeight="1" hidden="1">
      <c r="A219" s="143" t="s">
        <v>227</v>
      </c>
      <c r="B219" s="89" t="s">
        <v>160</v>
      </c>
      <c r="C219" s="89" t="s">
        <v>132</v>
      </c>
      <c r="D219" s="147" t="s">
        <v>207</v>
      </c>
      <c r="E219" s="89"/>
      <c r="F219" s="91">
        <f>F220</f>
        <v>1591</v>
      </c>
      <c r="G219" s="91">
        <f>G220</f>
        <v>-1591</v>
      </c>
      <c r="H219" s="91">
        <f>H220</f>
        <v>0</v>
      </c>
      <c r="I219" s="91">
        <f aca="true" t="shared" si="262" ref="I219:N219">I220</f>
        <v>0</v>
      </c>
      <c r="J219" s="91">
        <f t="shared" si="262"/>
        <v>0</v>
      </c>
      <c r="K219" s="91">
        <f t="shared" si="262"/>
        <v>0</v>
      </c>
      <c r="L219" s="91">
        <f t="shared" si="262"/>
        <v>0</v>
      </c>
      <c r="M219" s="91">
        <f t="shared" si="262"/>
        <v>0</v>
      </c>
      <c r="N219" s="91">
        <f t="shared" si="262"/>
        <v>0</v>
      </c>
      <c r="O219" s="79"/>
      <c r="P219" s="79"/>
      <c r="Q219" s="79"/>
      <c r="R219" s="79"/>
      <c r="S219" s="75"/>
      <c r="T219" s="75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5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81"/>
      <c r="AU219" s="81"/>
      <c r="AV219" s="81"/>
      <c r="AW219" s="81"/>
      <c r="AX219" s="81"/>
      <c r="AY219" s="75"/>
      <c r="AZ219" s="75"/>
      <c r="BA219" s="75"/>
      <c r="BB219" s="75"/>
      <c r="BC219" s="75"/>
      <c r="BD219" s="78"/>
      <c r="BE219" s="78"/>
      <c r="BF219" s="79"/>
      <c r="BG219" s="79"/>
      <c r="BH219" s="79"/>
      <c r="BI219" s="79"/>
      <c r="BJ219" s="79"/>
      <c r="BK219" s="78"/>
      <c r="BL219" s="78"/>
      <c r="BM219" s="78"/>
      <c r="BN219" s="78"/>
      <c r="BO219" s="78"/>
      <c r="BP219" s="78"/>
      <c r="BQ219" s="79"/>
      <c r="BR219" s="79"/>
      <c r="BS219" s="79"/>
      <c r="BT219" s="79"/>
      <c r="BU219" s="79"/>
      <c r="BV219" s="79"/>
      <c r="BW219" s="79"/>
      <c r="BX219" s="79"/>
      <c r="BY219" s="77" t="e">
        <f t="shared" si="249"/>
        <v>#DIV/0!</v>
      </c>
      <c r="BZ219" s="72"/>
    </row>
    <row r="220" spans="1:78" s="14" customFormat="1" ht="22.5" customHeight="1" hidden="1">
      <c r="A220" s="143" t="s">
        <v>403</v>
      </c>
      <c r="B220" s="89" t="s">
        <v>160</v>
      </c>
      <c r="C220" s="89" t="s">
        <v>132</v>
      </c>
      <c r="D220" s="147" t="s">
        <v>207</v>
      </c>
      <c r="E220" s="89" t="s">
        <v>145</v>
      </c>
      <c r="F220" s="75">
        <v>1591</v>
      </c>
      <c r="G220" s="75">
        <f>H220-F220</f>
        <v>-1591</v>
      </c>
      <c r="H220" s="78">
        <f>653-653</f>
        <v>0</v>
      </c>
      <c r="I220" s="79"/>
      <c r="J220" s="79"/>
      <c r="K220" s="79"/>
      <c r="L220" s="79"/>
      <c r="M220" s="75">
        <f>H220+J220+K220+L220</f>
        <v>0</v>
      </c>
      <c r="N220" s="78">
        <f>I220+L220</f>
        <v>0</v>
      </c>
      <c r="O220" s="79"/>
      <c r="P220" s="79"/>
      <c r="Q220" s="79"/>
      <c r="R220" s="79"/>
      <c r="S220" s="75"/>
      <c r="T220" s="75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5"/>
      <c r="AG220" s="79"/>
      <c r="AH220" s="79"/>
      <c r="AI220" s="79"/>
      <c r="AJ220" s="79"/>
      <c r="AK220" s="79"/>
      <c r="AL220" s="79"/>
      <c r="AM220" s="79"/>
      <c r="AN220" s="79"/>
      <c r="AO220" s="79"/>
      <c r="AP220" s="79"/>
      <c r="AQ220" s="79"/>
      <c r="AR220" s="79"/>
      <c r="AS220" s="79"/>
      <c r="AT220" s="81"/>
      <c r="AU220" s="81"/>
      <c r="AV220" s="81"/>
      <c r="AW220" s="81"/>
      <c r="AX220" s="81"/>
      <c r="AY220" s="75"/>
      <c r="AZ220" s="75"/>
      <c r="BA220" s="75"/>
      <c r="BB220" s="75"/>
      <c r="BC220" s="75"/>
      <c r="BD220" s="78"/>
      <c r="BE220" s="78"/>
      <c r="BF220" s="79"/>
      <c r="BG220" s="79"/>
      <c r="BH220" s="79"/>
      <c r="BI220" s="79"/>
      <c r="BJ220" s="79"/>
      <c r="BK220" s="78"/>
      <c r="BL220" s="78"/>
      <c r="BM220" s="78"/>
      <c r="BN220" s="78"/>
      <c r="BO220" s="78"/>
      <c r="BP220" s="78"/>
      <c r="BQ220" s="79"/>
      <c r="BR220" s="79"/>
      <c r="BS220" s="79"/>
      <c r="BT220" s="79"/>
      <c r="BU220" s="79"/>
      <c r="BV220" s="79"/>
      <c r="BW220" s="79"/>
      <c r="BX220" s="79"/>
      <c r="BY220" s="77" t="e">
        <f t="shared" si="249"/>
        <v>#DIV/0!</v>
      </c>
      <c r="BZ220" s="72"/>
    </row>
    <row r="221" spans="1:78" s="14" customFormat="1" ht="17.25" customHeight="1" hidden="1">
      <c r="A221" s="143" t="s">
        <v>404</v>
      </c>
      <c r="B221" s="89" t="s">
        <v>160</v>
      </c>
      <c r="C221" s="89" t="s">
        <v>132</v>
      </c>
      <c r="D221" s="147" t="s">
        <v>208</v>
      </c>
      <c r="E221" s="89"/>
      <c r="F221" s="91">
        <f>F222</f>
        <v>8739</v>
      </c>
      <c r="G221" s="91">
        <f>G222</f>
        <v>-8739</v>
      </c>
      <c r="H221" s="91">
        <f aca="true" t="shared" si="263" ref="H221:N221">H222</f>
        <v>0</v>
      </c>
      <c r="I221" s="91">
        <f t="shared" si="263"/>
        <v>0</v>
      </c>
      <c r="J221" s="91">
        <f t="shared" si="263"/>
        <v>0</v>
      </c>
      <c r="K221" s="91">
        <f t="shared" si="263"/>
        <v>0</v>
      </c>
      <c r="L221" s="91">
        <f t="shared" si="263"/>
        <v>0</v>
      </c>
      <c r="M221" s="91">
        <f t="shared" si="263"/>
        <v>0</v>
      </c>
      <c r="N221" s="91">
        <f t="shared" si="263"/>
        <v>0</v>
      </c>
      <c r="O221" s="79"/>
      <c r="P221" s="79"/>
      <c r="Q221" s="79"/>
      <c r="R221" s="79"/>
      <c r="S221" s="75"/>
      <c r="T221" s="75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5"/>
      <c r="AG221" s="79"/>
      <c r="AH221" s="79"/>
      <c r="AI221" s="79"/>
      <c r="AJ221" s="79"/>
      <c r="AK221" s="79"/>
      <c r="AL221" s="79"/>
      <c r="AM221" s="79"/>
      <c r="AN221" s="79"/>
      <c r="AO221" s="79"/>
      <c r="AP221" s="79"/>
      <c r="AQ221" s="79"/>
      <c r="AR221" s="79"/>
      <c r="AS221" s="79"/>
      <c r="AT221" s="81"/>
      <c r="AU221" s="81"/>
      <c r="AV221" s="81"/>
      <c r="AW221" s="81"/>
      <c r="AX221" s="81"/>
      <c r="AY221" s="75"/>
      <c r="AZ221" s="75"/>
      <c r="BA221" s="75"/>
      <c r="BB221" s="75"/>
      <c r="BC221" s="75"/>
      <c r="BD221" s="78"/>
      <c r="BE221" s="78"/>
      <c r="BF221" s="79"/>
      <c r="BG221" s="79"/>
      <c r="BH221" s="79"/>
      <c r="BI221" s="79"/>
      <c r="BJ221" s="79"/>
      <c r="BK221" s="78"/>
      <c r="BL221" s="78"/>
      <c r="BM221" s="78"/>
      <c r="BN221" s="78"/>
      <c r="BO221" s="78"/>
      <c r="BP221" s="78"/>
      <c r="BQ221" s="79"/>
      <c r="BR221" s="79"/>
      <c r="BS221" s="79"/>
      <c r="BT221" s="79"/>
      <c r="BU221" s="79"/>
      <c r="BV221" s="79"/>
      <c r="BW221" s="79"/>
      <c r="BX221" s="79"/>
      <c r="BY221" s="77" t="e">
        <f t="shared" si="249"/>
        <v>#DIV/0!</v>
      </c>
      <c r="BZ221" s="72"/>
    </row>
    <row r="222" spans="1:78" s="14" customFormat="1" ht="15.75" customHeight="1" hidden="1">
      <c r="A222" s="143" t="s">
        <v>403</v>
      </c>
      <c r="B222" s="89" t="s">
        <v>160</v>
      </c>
      <c r="C222" s="89" t="s">
        <v>132</v>
      </c>
      <c r="D222" s="147" t="s">
        <v>208</v>
      </c>
      <c r="E222" s="89" t="s">
        <v>145</v>
      </c>
      <c r="F222" s="75">
        <v>8739</v>
      </c>
      <c r="G222" s="75">
        <f>H222-F222</f>
        <v>-8739</v>
      </c>
      <c r="H222" s="75">
        <f>8945-8945</f>
        <v>0</v>
      </c>
      <c r="I222" s="79"/>
      <c r="J222" s="79"/>
      <c r="K222" s="79"/>
      <c r="L222" s="79"/>
      <c r="M222" s="75">
        <f>H222+J222+K222+L222</f>
        <v>0</v>
      </c>
      <c r="N222" s="78">
        <f>I222+L222</f>
        <v>0</v>
      </c>
      <c r="O222" s="79"/>
      <c r="P222" s="79"/>
      <c r="Q222" s="79"/>
      <c r="R222" s="79"/>
      <c r="S222" s="75"/>
      <c r="T222" s="75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5"/>
      <c r="AG222" s="79"/>
      <c r="AH222" s="79"/>
      <c r="AI222" s="79"/>
      <c r="AJ222" s="79"/>
      <c r="AK222" s="79"/>
      <c r="AL222" s="79"/>
      <c r="AM222" s="79"/>
      <c r="AN222" s="79"/>
      <c r="AO222" s="79"/>
      <c r="AP222" s="79"/>
      <c r="AQ222" s="79"/>
      <c r="AR222" s="79"/>
      <c r="AS222" s="79"/>
      <c r="AT222" s="81"/>
      <c r="AU222" s="81"/>
      <c r="AV222" s="81"/>
      <c r="AW222" s="81"/>
      <c r="AX222" s="81"/>
      <c r="AY222" s="75"/>
      <c r="AZ222" s="75"/>
      <c r="BA222" s="75"/>
      <c r="BB222" s="75"/>
      <c r="BC222" s="75"/>
      <c r="BD222" s="78"/>
      <c r="BE222" s="78"/>
      <c r="BF222" s="79"/>
      <c r="BG222" s="79"/>
      <c r="BH222" s="79"/>
      <c r="BI222" s="79"/>
      <c r="BJ222" s="79"/>
      <c r="BK222" s="78"/>
      <c r="BL222" s="78"/>
      <c r="BM222" s="78"/>
      <c r="BN222" s="78"/>
      <c r="BO222" s="78"/>
      <c r="BP222" s="78"/>
      <c r="BQ222" s="79"/>
      <c r="BR222" s="79"/>
      <c r="BS222" s="79"/>
      <c r="BT222" s="79"/>
      <c r="BU222" s="79"/>
      <c r="BV222" s="79"/>
      <c r="BW222" s="79"/>
      <c r="BX222" s="79"/>
      <c r="BY222" s="77" t="e">
        <f t="shared" si="249"/>
        <v>#DIV/0!</v>
      </c>
      <c r="BZ222" s="72"/>
    </row>
    <row r="223" spans="1:78" s="14" customFormat="1" ht="18.75" customHeight="1" hidden="1">
      <c r="A223" s="143" t="s">
        <v>268</v>
      </c>
      <c r="B223" s="89" t="s">
        <v>160</v>
      </c>
      <c r="C223" s="89" t="s">
        <v>132</v>
      </c>
      <c r="D223" s="147" t="s">
        <v>209</v>
      </c>
      <c r="E223" s="89"/>
      <c r="F223" s="91">
        <f>F224</f>
        <v>20384</v>
      </c>
      <c r="G223" s="91">
        <f>G224</f>
        <v>-20384</v>
      </c>
      <c r="H223" s="91">
        <f aca="true" t="shared" si="264" ref="H223:N223">H224</f>
        <v>0</v>
      </c>
      <c r="I223" s="91">
        <f t="shared" si="264"/>
        <v>0</v>
      </c>
      <c r="J223" s="91">
        <f t="shared" si="264"/>
        <v>0</v>
      </c>
      <c r="K223" s="91">
        <f t="shared" si="264"/>
        <v>0</v>
      </c>
      <c r="L223" s="91">
        <f t="shared" si="264"/>
        <v>0</v>
      </c>
      <c r="M223" s="91">
        <f t="shared" si="264"/>
        <v>0</v>
      </c>
      <c r="N223" s="91">
        <f t="shared" si="264"/>
        <v>0</v>
      </c>
      <c r="O223" s="79"/>
      <c r="P223" s="79"/>
      <c r="Q223" s="79"/>
      <c r="R223" s="79"/>
      <c r="S223" s="75"/>
      <c r="T223" s="75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5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81"/>
      <c r="AU223" s="81"/>
      <c r="AV223" s="81"/>
      <c r="AW223" s="81"/>
      <c r="AX223" s="81"/>
      <c r="AY223" s="75"/>
      <c r="AZ223" s="75"/>
      <c r="BA223" s="75"/>
      <c r="BB223" s="75"/>
      <c r="BC223" s="75"/>
      <c r="BD223" s="78"/>
      <c r="BE223" s="78"/>
      <c r="BF223" s="79"/>
      <c r="BG223" s="79"/>
      <c r="BH223" s="79"/>
      <c r="BI223" s="79"/>
      <c r="BJ223" s="79"/>
      <c r="BK223" s="78"/>
      <c r="BL223" s="78"/>
      <c r="BM223" s="78"/>
      <c r="BN223" s="78"/>
      <c r="BO223" s="78"/>
      <c r="BP223" s="78"/>
      <c r="BQ223" s="79"/>
      <c r="BR223" s="79"/>
      <c r="BS223" s="79"/>
      <c r="BT223" s="79"/>
      <c r="BU223" s="79"/>
      <c r="BV223" s="79"/>
      <c r="BW223" s="79"/>
      <c r="BX223" s="79"/>
      <c r="BY223" s="77" t="e">
        <f t="shared" si="249"/>
        <v>#DIV/0!</v>
      </c>
      <c r="BZ223" s="72"/>
    </row>
    <row r="224" spans="1:78" s="14" customFormat="1" ht="14.25" customHeight="1" hidden="1">
      <c r="A224" s="143" t="s">
        <v>403</v>
      </c>
      <c r="B224" s="89" t="s">
        <v>160</v>
      </c>
      <c r="C224" s="89" t="s">
        <v>132</v>
      </c>
      <c r="D224" s="147" t="s">
        <v>209</v>
      </c>
      <c r="E224" s="89" t="s">
        <v>145</v>
      </c>
      <c r="F224" s="75">
        <v>20384</v>
      </c>
      <c r="G224" s="75">
        <f>H224-F224</f>
        <v>-20384</v>
      </c>
      <c r="H224" s="75"/>
      <c r="I224" s="79"/>
      <c r="J224" s="79"/>
      <c r="K224" s="79"/>
      <c r="L224" s="79"/>
      <c r="M224" s="75">
        <f>H224+J224+K224+L224</f>
        <v>0</v>
      </c>
      <c r="N224" s="78">
        <f>I224+L224</f>
        <v>0</v>
      </c>
      <c r="O224" s="79"/>
      <c r="P224" s="79"/>
      <c r="Q224" s="79"/>
      <c r="R224" s="79"/>
      <c r="S224" s="75"/>
      <c r="T224" s="75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5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81"/>
      <c r="AU224" s="81"/>
      <c r="AV224" s="81"/>
      <c r="AW224" s="81"/>
      <c r="AX224" s="81"/>
      <c r="AY224" s="75"/>
      <c r="AZ224" s="75"/>
      <c r="BA224" s="75"/>
      <c r="BB224" s="75"/>
      <c r="BC224" s="75"/>
      <c r="BD224" s="78"/>
      <c r="BE224" s="78"/>
      <c r="BF224" s="79"/>
      <c r="BG224" s="79"/>
      <c r="BH224" s="79"/>
      <c r="BI224" s="79"/>
      <c r="BJ224" s="79"/>
      <c r="BK224" s="78"/>
      <c r="BL224" s="78"/>
      <c r="BM224" s="78"/>
      <c r="BN224" s="78"/>
      <c r="BO224" s="78"/>
      <c r="BP224" s="78"/>
      <c r="BQ224" s="79"/>
      <c r="BR224" s="79"/>
      <c r="BS224" s="79"/>
      <c r="BT224" s="79"/>
      <c r="BU224" s="79"/>
      <c r="BV224" s="79"/>
      <c r="BW224" s="79"/>
      <c r="BX224" s="79"/>
      <c r="BY224" s="77" t="e">
        <f t="shared" si="249"/>
        <v>#DIV/0!</v>
      </c>
      <c r="BZ224" s="72"/>
    </row>
    <row r="225" spans="1:78" s="14" customFormat="1" ht="47.25" customHeight="1" hidden="1">
      <c r="A225" s="143" t="s">
        <v>220</v>
      </c>
      <c r="B225" s="89" t="s">
        <v>160</v>
      </c>
      <c r="C225" s="89" t="s">
        <v>132</v>
      </c>
      <c r="D225" s="147" t="s">
        <v>219</v>
      </c>
      <c r="E225" s="89"/>
      <c r="F225" s="91">
        <f>F226</f>
        <v>7750</v>
      </c>
      <c r="G225" s="91">
        <f>G226</f>
        <v>3421</v>
      </c>
      <c r="H225" s="91">
        <f>H226</f>
        <v>11171</v>
      </c>
      <c r="I225" s="91">
        <f aca="true" t="shared" si="265" ref="I225:BW225">I226</f>
        <v>0</v>
      </c>
      <c r="J225" s="91">
        <f t="shared" si="265"/>
        <v>0</v>
      </c>
      <c r="K225" s="91">
        <f t="shared" si="265"/>
        <v>0</v>
      </c>
      <c r="L225" s="91">
        <f t="shared" si="265"/>
        <v>0</v>
      </c>
      <c r="M225" s="91">
        <f t="shared" si="265"/>
        <v>11171</v>
      </c>
      <c r="N225" s="91">
        <f t="shared" si="265"/>
        <v>0</v>
      </c>
      <c r="O225" s="91">
        <f t="shared" si="265"/>
        <v>0</v>
      </c>
      <c r="P225" s="91"/>
      <c r="Q225" s="91">
        <f t="shared" si="265"/>
        <v>0</v>
      </c>
      <c r="R225" s="91">
        <f t="shared" si="265"/>
        <v>0</v>
      </c>
      <c r="S225" s="91">
        <f t="shared" si="265"/>
        <v>11171</v>
      </c>
      <c r="T225" s="91">
        <f t="shared" si="265"/>
        <v>0</v>
      </c>
      <c r="U225" s="91">
        <f t="shared" si="265"/>
        <v>0</v>
      </c>
      <c r="V225" s="91">
        <f t="shared" si="265"/>
        <v>0</v>
      </c>
      <c r="W225" s="91">
        <f t="shared" si="265"/>
        <v>0</v>
      </c>
      <c r="X225" s="91">
        <f t="shared" si="265"/>
        <v>0</v>
      </c>
      <c r="Y225" s="91">
        <f t="shared" si="265"/>
        <v>0</v>
      </c>
      <c r="Z225" s="91">
        <f t="shared" si="265"/>
        <v>0</v>
      </c>
      <c r="AA225" s="91">
        <f t="shared" si="265"/>
        <v>0</v>
      </c>
      <c r="AB225" s="91">
        <f t="shared" si="265"/>
        <v>11171</v>
      </c>
      <c r="AC225" s="91">
        <f t="shared" si="265"/>
        <v>0</v>
      </c>
      <c r="AD225" s="91">
        <f t="shared" si="265"/>
        <v>0</v>
      </c>
      <c r="AE225" s="91">
        <f t="shared" si="265"/>
        <v>0</v>
      </c>
      <c r="AF225" s="91">
        <f t="shared" si="265"/>
        <v>0</v>
      </c>
      <c r="AG225" s="91">
        <f t="shared" si="265"/>
        <v>0</v>
      </c>
      <c r="AH225" s="91">
        <f t="shared" si="265"/>
        <v>0</v>
      </c>
      <c r="AI225" s="91">
        <f t="shared" si="265"/>
        <v>11171</v>
      </c>
      <c r="AJ225" s="91">
        <f t="shared" si="265"/>
        <v>0</v>
      </c>
      <c r="AK225" s="91">
        <f t="shared" si="265"/>
        <v>0</v>
      </c>
      <c r="AL225" s="91">
        <f t="shared" si="265"/>
        <v>11171</v>
      </c>
      <c r="AM225" s="91">
        <f t="shared" si="265"/>
        <v>0</v>
      </c>
      <c r="AN225" s="91">
        <f t="shared" si="265"/>
        <v>0</v>
      </c>
      <c r="AO225" s="91">
        <f t="shared" si="265"/>
        <v>0</v>
      </c>
      <c r="AP225" s="91">
        <f t="shared" si="265"/>
        <v>0</v>
      </c>
      <c r="AQ225" s="91">
        <f t="shared" si="265"/>
        <v>0</v>
      </c>
      <c r="AR225" s="91">
        <f t="shared" si="265"/>
        <v>11171</v>
      </c>
      <c r="AS225" s="91">
        <f t="shared" si="265"/>
        <v>0</v>
      </c>
      <c r="AT225" s="92">
        <f t="shared" si="265"/>
        <v>0</v>
      </c>
      <c r="AU225" s="92">
        <f t="shared" si="265"/>
        <v>0</v>
      </c>
      <c r="AV225" s="92">
        <f t="shared" si="265"/>
        <v>0</v>
      </c>
      <c r="AW225" s="92">
        <f t="shared" si="265"/>
        <v>11171</v>
      </c>
      <c r="AX225" s="92">
        <f t="shared" si="265"/>
        <v>0</v>
      </c>
      <c r="AY225" s="91">
        <f t="shared" si="265"/>
        <v>0</v>
      </c>
      <c r="AZ225" s="91">
        <f t="shared" si="265"/>
        <v>0</v>
      </c>
      <c r="BA225" s="91">
        <f t="shared" si="265"/>
        <v>0</v>
      </c>
      <c r="BB225" s="91">
        <f t="shared" si="265"/>
        <v>0</v>
      </c>
      <c r="BC225" s="91">
        <f t="shared" si="265"/>
        <v>0</v>
      </c>
      <c r="BD225" s="91">
        <f t="shared" si="265"/>
        <v>11171</v>
      </c>
      <c r="BE225" s="91">
        <f t="shared" si="265"/>
        <v>0</v>
      </c>
      <c r="BF225" s="91">
        <f t="shared" si="265"/>
        <v>0</v>
      </c>
      <c r="BG225" s="91">
        <f t="shared" si="265"/>
        <v>0</v>
      </c>
      <c r="BH225" s="91">
        <f t="shared" si="265"/>
        <v>0</v>
      </c>
      <c r="BI225" s="91">
        <f t="shared" si="265"/>
        <v>11171</v>
      </c>
      <c r="BJ225" s="91">
        <f t="shared" si="265"/>
        <v>0</v>
      </c>
      <c r="BK225" s="91">
        <f t="shared" si="265"/>
        <v>0</v>
      </c>
      <c r="BL225" s="91">
        <f t="shared" si="265"/>
        <v>0</v>
      </c>
      <c r="BM225" s="91">
        <f t="shared" si="265"/>
        <v>0</v>
      </c>
      <c r="BN225" s="91">
        <f t="shared" si="265"/>
        <v>0</v>
      </c>
      <c r="BO225" s="91">
        <f t="shared" si="265"/>
        <v>11171</v>
      </c>
      <c r="BP225" s="91">
        <f t="shared" si="265"/>
        <v>0</v>
      </c>
      <c r="BQ225" s="91">
        <f t="shared" si="265"/>
        <v>0</v>
      </c>
      <c r="BR225" s="91"/>
      <c r="BS225" s="91">
        <f t="shared" si="265"/>
        <v>0</v>
      </c>
      <c r="BT225" s="91">
        <f t="shared" si="265"/>
        <v>0</v>
      </c>
      <c r="BU225" s="91">
        <f t="shared" si="265"/>
        <v>11171</v>
      </c>
      <c r="BV225" s="91">
        <f>BV226</f>
        <v>0</v>
      </c>
      <c r="BW225" s="91">
        <f t="shared" si="265"/>
        <v>11171</v>
      </c>
      <c r="BX225" s="91">
        <f>BX226</f>
        <v>0</v>
      </c>
      <c r="BY225" s="77">
        <f t="shared" si="249"/>
        <v>100</v>
      </c>
      <c r="BZ225" s="72"/>
    </row>
    <row r="226" spans="1:78" s="14" customFormat="1" ht="86.25" customHeight="1" hidden="1">
      <c r="A226" s="88" t="s">
        <v>359</v>
      </c>
      <c r="B226" s="89" t="s">
        <v>160</v>
      </c>
      <c r="C226" s="89" t="s">
        <v>132</v>
      </c>
      <c r="D226" s="147" t="s">
        <v>219</v>
      </c>
      <c r="E226" s="89" t="s">
        <v>145</v>
      </c>
      <c r="F226" s="75">
        <v>7750</v>
      </c>
      <c r="G226" s="75">
        <f>H226-F226</f>
        <v>3421</v>
      </c>
      <c r="H226" s="75">
        <v>11171</v>
      </c>
      <c r="I226" s="79"/>
      <c r="J226" s="79"/>
      <c r="K226" s="79"/>
      <c r="L226" s="79"/>
      <c r="M226" s="75">
        <f>H226+J226+K226+L226</f>
        <v>11171</v>
      </c>
      <c r="N226" s="78">
        <f>I226+L226</f>
        <v>0</v>
      </c>
      <c r="O226" s="79"/>
      <c r="P226" s="79"/>
      <c r="Q226" s="79"/>
      <c r="R226" s="79"/>
      <c r="S226" s="75">
        <f>M226+O226+P226+Q226+R226</f>
        <v>11171</v>
      </c>
      <c r="T226" s="75">
        <f>N226+R226</f>
        <v>0</v>
      </c>
      <c r="U226" s="79"/>
      <c r="V226" s="79"/>
      <c r="W226" s="79"/>
      <c r="X226" s="79"/>
      <c r="Y226" s="79"/>
      <c r="Z226" s="79"/>
      <c r="AA226" s="79"/>
      <c r="AB226" s="75">
        <f>S226+U226+V226+W226+X226+Y226+Z226+AA226</f>
        <v>11171</v>
      </c>
      <c r="AC226" s="75">
        <f>T226+Z226+AA226</f>
        <v>0</v>
      </c>
      <c r="AD226" s="79"/>
      <c r="AE226" s="79"/>
      <c r="AF226" s="75"/>
      <c r="AG226" s="79"/>
      <c r="AH226" s="79"/>
      <c r="AI226" s="75">
        <f>AB226+AD226+AE226+AF226+AG226+AH226</f>
        <v>11171</v>
      </c>
      <c r="AJ226" s="75">
        <f>AC226+AH226</f>
        <v>0</v>
      </c>
      <c r="AK226" s="79"/>
      <c r="AL226" s="75">
        <f>AI226+AK226</f>
        <v>11171</v>
      </c>
      <c r="AM226" s="75">
        <f>AJ226</f>
        <v>0</v>
      </c>
      <c r="AN226" s="79"/>
      <c r="AO226" s="79"/>
      <c r="AP226" s="79"/>
      <c r="AQ226" s="79"/>
      <c r="AR226" s="75">
        <f>AL226+AN226+AO226+AP226+AQ226</f>
        <v>11171</v>
      </c>
      <c r="AS226" s="75">
        <f>AM226+AQ226</f>
        <v>0</v>
      </c>
      <c r="AT226" s="81"/>
      <c r="AU226" s="81"/>
      <c r="AV226" s="81"/>
      <c r="AW226" s="76">
        <f>AV226+AU226+AT226+AR226</f>
        <v>11171</v>
      </c>
      <c r="AX226" s="76">
        <f>AV226+AS226</f>
        <v>0</v>
      </c>
      <c r="AY226" s="75"/>
      <c r="AZ226" s="75"/>
      <c r="BA226" s="75"/>
      <c r="BB226" s="75"/>
      <c r="BC226" s="75"/>
      <c r="BD226" s="75">
        <f>AW226+AY226+AZ226+BA226+BB226+BC226</f>
        <v>11171</v>
      </c>
      <c r="BE226" s="75">
        <f>AX226+BC226</f>
        <v>0</v>
      </c>
      <c r="BF226" s="79"/>
      <c r="BG226" s="79"/>
      <c r="BH226" s="79"/>
      <c r="BI226" s="75">
        <f>BD226+BF226+BG226+BH226</f>
        <v>11171</v>
      </c>
      <c r="BJ226" s="75">
        <f>BE226+BH226</f>
        <v>0</v>
      </c>
      <c r="BK226" s="78"/>
      <c r="BL226" s="78"/>
      <c r="BM226" s="78"/>
      <c r="BN226" s="78"/>
      <c r="BO226" s="75">
        <f>BI226+BK226+BL226+BM226+BN226</f>
        <v>11171</v>
      </c>
      <c r="BP226" s="75">
        <f>BJ226+BN226</f>
        <v>0</v>
      </c>
      <c r="BQ226" s="79"/>
      <c r="BR226" s="79"/>
      <c r="BS226" s="79"/>
      <c r="BT226" s="79"/>
      <c r="BU226" s="75">
        <f>BO226+BQ226+BS226+BT226</f>
        <v>11171</v>
      </c>
      <c r="BV226" s="75">
        <f>BP226+BT226</f>
        <v>0</v>
      </c>
      <c r="BW226" s="75">
        <v>11171</v>
      </c>
      <c r="BX226" s="75">
        <f>BR226+BV226</f>
        <v>0</v>
      </c>
      <c r="BY226" s="77">
        <f t="shared" si="249"/>
        <v>100</v>
      </c>
      <c r="BZ226" s="72"/>
    </row>
    <row r="227" spans="1:78" s="14" customFormat="1" ht="45" customHeight="1" hidden="1">
      <c r="A227" s="143" t="s">
        <v>267</v>
      </c>
      <c r="B227" s="89" t="s">
        <v>160</v>
      </c>
      <c r="C227" s="89" t="s">
        <v>132</v>
      </c>
      <c r="D227" s="147" t="s">
        <v>269</v>
      </c>
      <c r="E227" s="89"/>
      <c r="F227" s="91">
        <f>F228</f>
        <v>0</v>
      </c>
      <c r="G227" s="91">
        <f>G228</f>
        <v>39292</v>
      </c>
      <c r="H227" s="91">
        <f>H228</f>
        <v>39292</v>
      </c>
      <c r="I227" s="91">
        <f aca="true" t="shared" si="266" ref="I227:BW227">I228</f>
        <v>0</v>
      </c>
      <c r="J227" s="91">
        <f t="shared" si="266"/>
        <v>0</v>
      </c>
      <c r="K227" s="91">
        <f t="shared" si="266"/>
        <v>0</v>
      </c>
      <c r="L227" s="91">
        <f t="shared" si="266"/>
        <v>0</v>
      </c>
      <c r="M227" s="91">
        <f t="shared" si="266"/>
        <v>39292</v>
      </c>
      <c r="N227" s="91">
        <f t="shared" si="266"/>
        <v>0</v>
      </c>
      <c r="O227" s="91">
        <f t="shared" si="266"/>
        <v>0</v>
      </c>
      <c r="P227" s="91"/>
      <c r="Q227" s="91">
        <f t="shared" si="266"/>
        <v>0</v>
      </c>
      <c r="R227" s="91">
        <f t="shared" si="266"/>
        <v>0</v>
      </c>
      <c r="S227" s="91">
        <f t="shared" si="266"/>
        <v>39292</v>
      </c>
      <c r="T227" s="91">
        <f t="shared" si="266"/>
        <v>0</v>
      </c>
      <c r="U227" s="91">
        <f t="shared" si="266"/>
        <v>0</v>
      </c>
      <c r="V227" s="91">
        <f t="shared" si="266"/>
        <v>0</v>
      </c>
      <c r="W227" s="91">
        <f t="shared" si="266"/>
        <v>0</v>
      </c>
      <c r="X227" s="91">
        <f t="shared" si="266"/>
        <v>0</v>
      </c>
      <c r="Y227" s="91">
        <f t="shared" si="266"/>
        <v>0</v>
      </c>
      <c r="Z227" s="91">
        <f t="shared" si="266"/>
        <v>0</v>
      </c>
      <c r="AA227" s="91">
        <f t="shared" si="266"/>
        <v>0</v>
      </c>
      <c r="AB227" s="91">
        <f t="shared" si="266"/>
        <v>39292</v>
      </c>
      <c r="AC227" s="91">
        <f t="shared" si="266"/>
        <v>0</v>
      </c>
      <c r="AD227" s="91">
        <f t="shared" si="266"/>
        <v>0</v>
      </c>
      <c r="AE227" s="91">
        <f t="shared" si="266"/>
        <v>0</v>
      </c>
      <c r="AF227" s="91">
        <f t="shared" si="266"/>
        <v>-914</v>
      </c>
      <c r="AG227" s="91">
        <f t="shared" si="266"/>
        <v>0</v>
      </c>
      <c r="AH227" s="91">
        <f t="shared" si="266"/>
        <v>0</v>
      </c>
      <c r="AI227" s="91">
        <f t="shared" si="266"/>
        <v>38378</v>
      </c>
      <c r="AJ227" s="91">
        <f t="shared" si="266"/>
        <v>0</v>
      </c>
      <c r="AK227" s="91">
        <f t="shared" si="266"/>
        <v>0</v>
      </c>
      <c r="AL227" s="91">
        <f t="shared" si="266"/>
        <v>38378</v>
      </c>
      <c r="AM227" s="91">
        <f t="shared" si="266"/>
        <v>0</v>
      </c>
      <c r="AN227" s="91">
        <f t="shared" si="266"/>
        <v>0</v>
      </c>
      <c r="AO227" s="91">
        <f t="shared" si="266"/>
        <v>0</v>
      </c>
      <c r="AP227" s="91">
        <f t="shared" si="266"/>
        <v>0</v>
      </c>
      <c r="AQ227" s="91">
        <f t="shared" si="266"/>
        <v>0</v>
      </c>
      <c r="AR227" s="91">
        <f t="shared" si="266"/>
        <v>38378</v>
      </c>
      <c r="AS227" s="91">
        <f t="shared" si="266"/>
        <v>0</v>
      </c>
      <c r="AT227" s="92">
        <f t="shared" si="266"/>
        <v>0</v>
      </c>
      <c r="AU227" s="92">
        <f t="shared" si="266"/>
        <v>0</v>
      </c>
      <c r="AV227" s="92">
        <f t="shared" si="266"/>
        <v>0</v>
      </c>
      <c r="AW227" s="92">
        <f t="shared" si="266"/>
        <v>38378</v>
      </c>
      <c r="AX227" s="92">
        <f t="shared" si="266"/>
        <v>0</v>
      </c>
      <c r="AY227" s="91">
        <f t="shared" si="266"/>
        <v>0</v>
      </c>
      <c r="AZ227" s="91">
        <f t="shared" si="266"/>
        <v>-1053</v>
      </c>
      <c r="BA227" s="91">
        <f t="shared" si="266"/>
        <v>0</v>
      </c>
      <c r="BB227" s="91">
        <f t="shared" si="266"/>
        <v>0</v>
      </c>
      <c r="BC227" s="91">
        <f t="shared" si="266"/>
        <v>0</v>
      </c>
      <c r="BD227" s="91">
        <f t="shared" si="266"/>
        <v>37325</v>
      </c>
      <c r="BE227" s="91">
        <f t="shared" si="266"/>
        <v>0</v>
      </c>
      <c r="BF227" s="91">
        <f t="shared" si="266"/>
        <v>0</v>
      </c>
      <c r="BG227" s="91">
        <f t="shared" si="266"/>
        <v>0</v>
      </c>
      <c r="BH227" s="91">
        <f t="shared" si="266"/>
        <v>0</v>
      </c>
      <c r="BI227" s="91">
        <f t="shared" si="266"/>
        <v>37325</v>
      </c>
      <c r="BJ227" s="91">
        <f t="shared" si="266"/>
        <v>0</v>
      </c>
      <c r="BK227" s="91">
        <f t="shared" si="266"/>
        <v>0</v>
      </c>
      <c r="BL227" s="91">
        <f t="shared" si="266"/>
        <v>0</v>
      </c>
      <c r="BM227" s="91">
        <f t="shared" si="266"/>
        <v>0</v>
      </c>
      <c r="BN227" s="91">
        <f t="shared" si="266"/>
        <v>0</v>
      </c>
      <c r="BO227" s="91">
        <f t="shared" si="266"/>
        <v>37325</v>
      </c>
      <c r="BP227" s="91">
        <f t="shared" si="266"/>
        <v>0</v>
      </c>
      <c r="BQ227" s="91">
        <f t="shared" si="266"/>
        <v>0</v>
      </c>
      <c r="BR227" s="91"/>
      <c r="BS227" s="91">
        <f t="shared" si="266"/>
        <v>0</v>
      </c>
      <c r="BT227" s="91">
        <f t="shared" si="266"/>
        <v>0</v>
      </c>
      <c r="BU227" s="91">
        <f t="shared" si="266"/>
        <v>37325</v>
      </c>
      <c r="BV227" s="91">
        <f>BV228</f>
        <v>0</v>
      </c>
      <c r="BW227" s="91">
        <f t="shared" si="266"/>
        <v>27341</v>
      </c>
      <c r="BX227" s="91">
        <f>BX228</f>
        <v>0</v>
      </c>
      <c r="BY227" s="77">
        <f t="shared" si="249"/>
        <v>73.25117213663765</v>
      </c>
      <c r="BZ227" s="72"/>
    </row>
    <row r="228" spans="1:78" s="14" customFormat="1" ht="83.25" customHeight="1" hidden="1">
      <c r="A228" s="88" t="s">
        <v>359</v>
      </c>
      <c r="B228" s="89" t="s">
        <v>160</v>
      </c>
      <c r="C228" s="89" t="s">
        <v>132</v>
      </c>
      <c r="D228" s="147" t="s">
        <v>269</v>
      </c>
      <c r="E228" s="89" t="s">
        <v>145</v>
      </c>
      <c r="F228" s="75"/>
      <c r="G228" s="75">
        <f>H228-F228</f>
        <v>39292</v>
      </c>
      <c r="H228" s="75">
        <v>39292</v>
      </c>
      <c r="I228" s="79"/>
      <c r="J228" s="79"/>
      <c r="K228" s="79"/>
      <c r="L228" s="79"/>
      <c r="M228" s="75">
        <f>H228+J228+K228+L228</f>
        <v>39292</v>
      </c>
      <c r="N228" s="78">
        <f>I228+L228</f>
        <v>0</v>
      </c>
      <c r="O228" s="79"/>
      <c r="P228" s="79"/>
      <c r="Q228" s="79"/>
      <c r="R228" s="79"/>
      <c r="S228" s="75">
        <f>M228+O228+P228+Q228+R228</f>
        <v>39292</v>
      </c>
      <c r="T228" s="75">
        <f>N228+R228</f>
        <v>0</v>
      </c>
      <c r="U228" s="79"/>
      <c r="V228" s="79"/>
      <c r="W228" s="79"/>
      <c r="X228" s="79"/>
      <c r="Y228" s="79"/>
      <c r="Z228" s="79"/>
      <c r="AA228" s="79"/>
      <c r="AB228" s="75">
        <f>S228+U228+V228+W228+X228+Y228+Z228+AA228</f>
        <v>39292</v>
      </c>
      <c r="AC228" s="75">
        <f>T228+Z228+AA228</f>
        <v>0</v>
      </c>
      <c r="AD228" s="79"/>
      <c r="AE228" s="79"/>
      <c r="AF228" s="75">
        <v>-914</v>
      </c>
      <c r="AG228" s="79"/>
      <c r="AH228" s="79"/>
      <c r="AI228" s="75">
        <f>AB228+AD228+AE228+AF228+AG228+AH228</f>
        <v>38378</v>
      </c>
      <c r="AJ228" s="75">
        <f>AC228+AH228</f>
        <v>0</v>
      </c>
      <c r="AK228" s="79"/>
      <c r="AL228" s="75">
        <f>AI228+AK228</f>
        <v>38378</v>
      </c>
      <c r="AM228" s="75">
        <f>AJ228</f>
        <v>0</v>
      </c>
      <c r="AN228" s="79"/>
      <c r="AO228" s="79"/>
      <c r="AP228" s="79"/>
      <c r="AQ228" s="79"/>
      <c r="AR228" s="75">
        <f>AL228+AN228+AO228+AP228+AQ228</f>
        <v>38378</v>
      </c>
      <c r="AS228" s="75">
        <f>AM228+AQ228</f>
        <v>0</v>
      </c>
      <c r="AT228" s="81"/>
      <c r="AU228" s="81"/>
      <c r="AV228" s="81"/>
      <c r="AW228" s="76">
        <f>AV228+AU228+AT228+AR228</f>
        <v>38378</v>
      </c>
      <c r="AX228" s="76">
        <f>AV228+AS228</f>
        <v>0</v>
      </c>
      <c r="AY228" s="75"/>
      <c r="AZ228" s="75">
        <v>-1053</v>
      </c>
      <c r="BA228" s="75"/>
      <c r="BB228" s="75"/>
      <c r="BC228" s="75"/>
      <c r="BD228" s="75">
        <f>AW228+AY228+AZ228+BA228+BB228+BC228</f>
        <v>37325</v>
      </c>
      <c r="BE228" s="75">
        <f>AX228+BC228</f>
        <v>0</v>
      </c>
      <c r="BF228" s="79"/>
      <c r="BG228" s="79"/>
      <c r="BH228" s="79"/>
      <c r="BI228" s="75">
        <f>BD228+BF228+BG228+BH228</f>
        <v>37325</v>
      </c>
      <c r="BJ228" s="75">
        <f>BE228+BH228</f>
        <v>0</v>
      </c>
      <c r="BK228" s="78"/>
      <c r="BL228" s="78"/>
      <c r="BM228" s="78"/>
      <c r="BN228" s="78"/>
      <c r="BO228" s="75">
        <f>BI228+BK228+BL228+BM228+BN228</f>
        <v>37325</v>
      </c>
      <c r="BP228" s="75">
        <f>BJ228+BN228</f>
        <v>0</v>
      </c>
      <c r="BQ228" s="79"/>
      <c r="BR228" s="79"/>
      <c r="BS228" s="79"/>
      <c r="BT228" s="79"/>
      <c r="BU228" s="75">
        <f>BO228+BQ228+BS228+BT228</f>
        <v>37325</v>
      </c>
      <c r="BV228" s="75">
        <f>BP228+BT228</f>
        <v>0</v>
      </c>
      <c r="BW228" s="75">
        <v>27341</v>
      </c>
      <c r="BX228" s="75">
        <f>BR228+BV228</f>
        <v>0</v>
      </c>
      <c r="BY228" s="77">
        <f t="shared" si="249"/>
        <v>73.25117213663765</v>
      </c>
      <c r="BZ228" s="72"/>
    </row>
    <row r="229" spans="1:78" s="14" customFormat="1" ht="276" customHeight="1" hidden="1">
      <c r="A229" s="88" t="s">
        <v>386</v>
      </c>
      <c r="B229" s="89" t="s">
        <v>160</v>
      </c>
      <c r="C229" s="89" t="s">
        <v>132</v>
      </c>
      <c r="D229" s="147" t="s">
        <v>385</v>
      </c>
      <c r="E229" s="89"/>
      <c r="F229" s="75"/>
      <c r="G229" s="75"/>
      <c r="H229" s="75"/>
      <c r="I229" s="79"/>
      <c r="J229" s="79"/>
      <c r="K229" s="79"/>
      <c r="L229" s="79"/>
      <c r="M229" s="75"/>
      <c r="N229" s="78"/>
      <c r="O229" s="79"/>
      <c r="P229" s="79"/>
      <c r="Q229" s="79"/>
      <c r="R229" s="79"/>
      <c r="S229" s="75"/>
      <c r="T229" s="75"/>
      <c r="U229" s="79"/>
      <c r="V229" s="79"/>
      <c r="W229" s="79"/>
      <c r="X229" s="79"/>
      <c r="Y229" s="79"/>
      <c r="Z229" s="79"/>
      <c r="AA229" s="79"/>
      <c r="AB229" s="75"/>
      <c r="AC229" s="75"/>
      <c r="AD229" s="79"/>
      <c r="AE229" s="79"/>
      <c r="AF229" s="75"/>
      <c r="AG229" s="79"/>
      <c r="AH229" s="79"/>
      <c r="AI229" s="75"/>
      <c r="AJ229" s="75"/>
      <c r="AK229" s="79"/>
      <c r="AL229" s="75"/>
      <c r="AM229" s="75"/>
      <c r="AN229" s="79"/>
      <c r="AO229" s="79"/>
      <c r="AP229" s="79"/>
      <c r="AQ229" s="79"/>
      <c r="AR229" s="75"/>
      <c r="AS229" s="75"/>
      <c r="AT229" s="81"/>
      <c r="AU229" s="81"/>
      <c r="AV229" s="81"/>
      <c r="AW229" s="76"/>
      <c r="AX229" s="76"/>
      <c r="AY229" s="75"/>
      <c r="AZ229" s="75"/>
      <c r="BA229" s="75"/>
      <c r="BB229" s="75"/>
      <c r="BC229" s="75"/>
      <c r="BD229" s="75"/>
      <c r="BE229" s="75"/>
      <c r="BF229" s="79"/>
      <c r="BG229" s="79"/>
      <c r="BH229" s="79"/>
      <c r="BI229" s="75"/>
      <c r="BJ229" s="75"/>
      <c r="BK229" s="78"/>
      <c r="BL229" s="78"/>
      <c r="BM229" s="78"/>
      <c r="BN229" s="78"/>
      <c r="BO229" s="75"/>
      <c r="BP229" s="75"/>
      <c r="BQ229" s="79">
        <f aca="true" t="shared" si="267" ref="BQ229:BW229">BQ230</f>
        <v>0</v>
      </c>
      <c r="BR229" s="75">
        <f t="shared" si="267"/>
        <v>0</v>
      </c>
      <c r="BS229" s="75">
        <f t="shared" si="267"/>
        <v>2947</v>
      </c>
      <c r="BT229" s="75">
        <f t="shared" si="267"/>
        <v>56000</v>
      </c>
      <c r="BU229" s="75">
        <f t="shared" si="267"/>
        <v>58947</v>
      </c>
      <c r="BV229" s="75">
        <f t="shared" si="267"/>
        <v>56000</v>
      </c>
      <c r="BW229" s="75">
        <f t="shared" si="267"/>
        <v>58947</v>
      </c>
      <c r="BX229" s="75">
        <f>BX230</f>
        <v>56000</v>
      </c>
      <c r="BY229" s="77">
        <f t="shared" si="249"/>
        <v>100</v>
      </c>
      <c r="BZ229" s="77">
        <f t="shared" si="249"/>
        <v>100</v>
      </c>
    </row>
    <row r="230" spans="1:78" s="14" customFormat="1" ht="88.5" customHeight="1" hidden="1">
      <c r="A230" s="88" t="s">
        <v>359</v>
      </c>
      <c r="B230" s="89" t="s">
        <v>160</v>
      </c>
      <c r="C230" s="89" t="s">
        <v>132</v>
      </c>
      <c r="D230" s="147" t="s">
        <v>385</v>
      </c>
      <c r="E230" s="89" t="s">
        <v>145</v>
      </c>
      <c r="F230" s="75"/>
      <c r="G230" s="75"/>
      <c r="H230" s="75"/>
      <c r="I230" s="79"/>
      <c r="J230" s="79"/>
      <c r="K230" s="79"/>
      <c r="L230" s="79"/>
      <c r="M230" s="75"/>
      <c r="N230" s="78"/>
      <c r="O230" s="79"/>
      <c r="P230" s="79"/>
      <c r="Q230" s="79"/>
      <c r="R230" s="79"/>
      <c r="S230" s="75"/>
      <c r="T230" s="75"/>
      <c r="U230" s="79"/>
      <c r="V230" s="79"/>
      <c r="W230" s="79"/>
      <c r="X230" s="79"/>
      <c r="Y230" s="79"/>
      <c r="Z230" s="79"/>
      <c r="AA230" s="79"/>
      <c r="AB230" s="75"/>
      <c r="AC230" s="75"/>
      <c r="AD230" s="79"/>
      <c r="AE230" s="79"/>
      <c r="AF230" s="75"/>
      <c r="AG230" s="79"/>
      <c r="AH230" s="79"/>
      <c r="AI230" s="75"/>
      <c r="AJ230" s="75"/>
      <c r="AK230" s="79"/>
      <c r="AL230" s="75"/>
      <c r="AM230" s="75"/>
      <c r="AN230" s="79"/>
      <c r="AO230" s="79"/>
      <c r="AP230" s="79"/>
      <c r="AQ230" s="79"/>
      <c r="AR230" s="75"/>
      <c r="AS230" s="75"/>
      <c r="AT230" s="81"/>
      <c r="AU230" s="81"/>
      <c r="AV230" s="81"/>
      <c r="AW230" s="76"/>
      <c r="AX230" s="76"/>
      <c r="AY230" s="75"/>
      <c r="AZ230" s="75"/>
      <c r="BA230" s="75"/>
      <c r="BB230" s="75"/>
      <c r="BC230" s="75"/>
      <c r="BD230" s="75"/>
      <c r="BE230" s="75"/>
      <c r="BF230" s="79"/>
      <c r="BG230" s="79"/>
      <c r="BH230" s="79"/>
      <c r="BI230" s="75"/>
      <c r="BJ230" s="75"/>
      <c r="BK230" s="78"/>
      <c r="BL230" s="78"/>
      <c r="BM230" s="78"/>
      <c r="BN230" s="78"/>
      <c r="BO230" s="75"/>
      <c r="BP230" s="75"/>
      <c r="BQ230" s="79"/>
      <c r="BR230" s="75"/>
      <c r="BS230" s="75">
        <v>2947</v>
      </c>
      <c r="BT230" s="75">
        <v>56000</v>
      </c>
      <c r="BU230" s="75">
        <f>BQ230+BR230+BS230+BT230</f>
        <v>58947</v>
      </c>
      <c r="BV230" s="75">
        <f>BP230+BT230</f>
        <v>56000</v>
      </c>
      <c r="BW230" s="75">
        <v>58947</v>
      </c>
      <c r="BX230" s="75">
        <v>56000</v>
      </c>
      <c r="BY230" s="77">
        <f t="shared" si="249"/>
        <v>100</v>
      </c>
      <c r="BZ230" s="77">
        <f t="shared" si="249"/>
        <v>100</v>
      </c>
    </row>
    <row r="231" spans="1:78" s="14" customFormat="1" ht="34.5" customHeight="1" hidden="1">
      <c r="A231" s="88" t="s">
        <v>121</v>
      </c>
      <c r="B231" s="89" t="s">
        <v>160</v>
      </c>
      <c r="C231" s="89" t="s">
        <v>132</v>
      </c>
      <c r="D231" s="90" t="s">
        <v>122</v>
      </c>
      <c r="E231" s="89"/>
      <c r="F231" s="75">
        <f>F232</f>
        <v>0</v>
      </c>
      <c r="G231" s="75">
        <f>G232</f>
        <v>4393</v>
      </c>
      <c r="H231" s="75">
        <f>H232</f>
        <v>4393</v>
      </c>
      <c r="I231" s="75">
        <f aca="true" t="shared" si="268" ref="I231:AS231">I232</f>
        <v>0</v>
      </c>
      <c r="J231" s="75">
        <f t="shared" si="268"/>
        <v>0</v>
      </c>
      <c r="K231" s="75">
        <f t="shared" si="268"/>
        <v>0</v>
      </c>
      <c r="L231" s="75">
        <f t="shared" si="268"/>
        <v>0</v>
      </c>
      <c r="M231" s="75">
        <f t="shared" si="268"/>
        <v>4393</v>
      </c>
      <c r="N231" s="75">
        <f t="shared" si="268"/>
        <v>0</v>
      </c>
      <c r="O231" s="75">
        <f t="shared" si="268"/>
        <v>0</v>
      </c>
      <c r="P231" s="75"/>
      <c r="Q231" s="75">
        <f t="shared" si="268"/>
        <v>0</v>
      </c>
      <c r="R231" s="75">
        <f t="shared" si="268"/>
        <v>0</v>
      </c>
      <c r="S231" s="75">
        <f t="shared" si="268"/>
        <v>4393</v>
      </c>
      <c r="T231" s="75">
        <f t="shared" si="268"/>
        <v>0</v>
      </c>
      <c r="U231" s="75">
        <f t="shared" si="268"/>
        <v>0</v>
      </c>
      <c r="V231" s="75">
        <f t="shared" si="268"/>
        <v>0</v>
      </c>
      <c r="W231" s="75">
        <f t="shared" si="268"/>
        <v>0</v>
      </c>
      <c r="X231" s="75">
        <f t="shared" si="268"/>
        <v>0</v>
      </c>
      <c r="Y231" s="75">
        <f t="shared" si="268"/>
        <v>0</v>
      </c>
      <c r="Z231" s="75">
        <f t="shared" si="268"/>
        <v>0</v>
      </c>
      <c r="AA231" s="75">
        <f t="shared" si="268"/>
        <v>0</v>
      </c>
      <c r="AB231" s="75">
        <f t="shared" si="268"/>
        <v>4393</v>
      </c>
      <c r="AC231" s="75">
        <f t="shared" si="268"/>
        <v>0</v>
      </c>
      <c r="AD231" s="75">
        <f t="shared" si="268"/>
        <v>0</v>
      </c>
      <c r="AE231" s="75">
        <f t="shared" si="268"/>
        <v>0</v>
      </c>
      <c r="AF231" s="75">
        <f t="shared" si="268"/>
        <v>100</v>
      </c>
      <c r="AG231" s="75">
        <f t="shared" si="268"/>
        <v>0</v>
      </c>
      <c r="AH231" s="75">
        <f t="shared" si="268"/>
        <v>0</v>
      </c>
      <c r="AI231" s="75">
        <f t="shared" si="268"/>
        <v>4493</v>
      </c>
      <c r="AJ231" s="75">
        <f t="shared" si="268"/>
        <v>0</v>
      </c>
      <c r="AK231" s="75">
        <f t="shared" si="268"/>
        <v>0</v>
      </c>
      <c r="AL231" s="75">
        <f t="shared" si="268"/>
        <v>4493</v>
      </c>
      <c r="AM231" s="75">
        <f t="shared" si="268"/>
        <v>0</v>
      </c>
      <c r="AN231" s="75">
        <f t="shared" si="268"/>
        <v>0</v>
      </c>
      <c r="AO231" s="75">
        <f t="shared" si="268"/>
        <v>0</v>
      </c>
      <c r="AP231" s="75">
        <f t="shared" si="268"/>
        <v>0</v>
      </c>
      <c r="AQ231" s="75">
        <f t="shared" si="268"/>
        <v>0</v>
      </c>
      <c r="AR231" s="75">
        <f t="shared" si="268"/>
        <v>4493</v>
      </c>
      <c r="AS231" s="75">
        <f t="shared" si="268"/>
        <v>0</v>
      </c>
      <c r="AT231" s="76">
        <f>AT232+AT233</f>
        <v>19972</v>
      </c>
      <c r="AU231" s="76">
        <f>AU232+AU233</f>
        <v>0</v>
      </c>
      <c r="AV231" s="76">
        <f>AV232+AV233</f>
        <v>0</v>
      </c>
      <c r="AW231" s="76">
        <f>AW232+AW233</f>
        <v>24465</v>
      </c>
      <c r="AX231" s="76">
        <f aca="true" t="shared" si="269" ref="AX231:BV231">AX232+AX233</f>
        <v>0</v>
      </c>
      <c r="AY231" s="75">
        <f t="shared" si="269"/>
        <v>-2393</v>
      </c>
      <c r="AZ231" s="75">
        <f t="shared" si="269"/>
        <v>0</v>
      </c>
      <c r="BA231" s="75">
        <f t="shared" si="269"/>
        <v>0</v>
      </c>
      <c r="BB231" s="75">
        <f t="shared" si="269"/>
        <v>0</v>
      </c>
      <c r="BC231" s="75">
        <f t="shared" si="269"/>
        <v>0</v>
      </c>
      <c r="BD231" s="75">
        <f t="shared" si="269"/>
        <v>22072</v>
      </c>
      <c r="BE231" s="75">
        <f t="shared" si="269"/>
        <v>0</v>
      </c>
      <c r="BF231" s="75">
        <f t="shared" si="269"/>
        <v>0</v>
      </c>
      <c r="BG231" s="75">
        <f t="shared" si="269"/>
        <v>0</v>
      </c>
      <c r="BH231" s="75">
        <f t="shared" si="269"/>
        <v>0</v>
      </c>
      <c r="BI231" s="75">
        <f t="shared" si="269"/>
        <v>22072</v>
      </c>
      <c r="BJ231" s="75">
        <f t="shared" si="269"/>
        <v>0</v>
      </c>
      <c r="BK231" s="75">
        <f t="shared" si="269"/>
        <v>0</v>
      </c>
      <c r="BL231" s="75">
        <f t="shared" si="269"/>
        <v>0</v>
      </c>
      <c r="BM231" s="75">
        <f t="shared" si="269"/>
        <v>0</v>
      </c>
      <c r="BN231" s="75">
        <f t="shared" si="269"/>
        <v>0</v>
      </c>
      <c r="BO231" s="75">
        <f t="shared" si="269"/>
        <v>22072</v>
      </c>
      <c r="BP231" s="75">
        <f t="shared" si="269"/>
        <v>0</v>
      </c>
      <c r="BQ231" s="75">
        <f t="shared" si="269"/>
        <v>0</v>
      </c>
      <c r="BR231" s="75"/>
      <c r="BS231" s="75">
        <f t="shared" si="269"/>
        <v>-2150</v>
      </c>
      <c r="BT231" s="75">
        <f t="shared" si="269"/>
        <v>0</v>
      </c>
      <c r="BU231" s="75">
        <f t="shared" si="269"/>
        <v>19922</v>
      </c>
      <c r="BV231" s="75">
        <f t="shared" si="269"/>
        <v>0</v>
      </c>
      <c r="BW231" s="75">
        <f>BW232+BW233</f>
        <v>15897</v>
      </c>
      <c r="BX231" s="75">
        <f>BX232+BX233</f>
        <v>0</v>
      </c>
      <c r="BY231" s="77">
        <f t="shared" si="249"/>
        <v>79.7962052002811</v>
      </c>
      <c r="BZ231" s="72"/>
    </row>
    <row r="232" spans="1:78" s="14" customFormat="1" ht="72" customHeight="1" hidden="1">
      <c r="A232" s="88" t="s">
        <v>138</v>
      </c>
      <c r="B232" s="89" t="s">
        <v>160</v>
      </c>
      <c r="C232" s="89" t="s">
        <v>132</v>
      </c>
      <c r="D232" s="90" t="s">
        <v>122</v>
      </c>
      <c r="E232" s="89" t="s">
        <v>139</v>
      </c>
      <c r="F232" s="75"/>
      <c r="G232" s="75">
        <f>H232-F232</f>
        <v>4393</v>
      </c>
      <c r="H232" s="75">
        <v>4393</v>
      </c>
      <c r="I232" s="79"/>
      <c r="J232" s="79"/>
      <c r="K232" s="79"/>
      <c r="L232" s="79"/>
      <c r="M232" s="75">
        <f>H232+J232+K232+L232</f>
        <v>4393</v>
      </c>
      <c r="N232" s="78">
        <f>I232+L232</f>
        <v>0</v>
      </c>
      <c r="O232" s="79"/>
      <c r="P232" s="79"/>
      <c r="Q232" s="79"/>
      <c r="R232" s="79"/>
      <c r="S232" s="75">
        <f>M232+O232+P232+Q232+R232</f>
        <v>4393</v>
      </c>
      <c r="T232" s="75">
        <f>N232+R232</f>
        <v>0</v>
      </c>
      <c r="U232" s="79"/>
      <c r="V232" s="79"/>
      <c r="W232" s="79"/>
      <c r="X232" s="79"/>
      <c r="Y232" s="79"/>
      <c r="Z232" s="79"/>
      <c r="AA232" s="79"/>
      <c r="AB232" s="75">
        <f>S232+U232+V232+W232+X232+Y232+Z232+AA232</f>
        <v>4393</v>
      </c>
      <c r="AC232" s="75">
        <f>T232+Z232+AA232</f>
        <v>0</v>
      </c>
      <c r="AD232" s="79"/>
      <c r="AE232" s="79"/>
      <c r="AF232" s="75">
        <v>100</v>
      </c>
      <c r="AG232" s="79"/>
      <c r="AH232" s="79"/>
      <c r="AI232" s="75">
        <f>AB232+AD232+AE232+AF232+AG232+AH232</f>
        <v>4493</v>
      </c>
      <c r="AJ232" s="75">
        <f>AC232+AH232</f>
        <v>0</v>
      </c>
      <c r="AK232" s="79"/>
      <c r="AL232" s="75">
        <f>AI232+AK232</f>
        <v>4493</v>
      </c>
      <c r="AM232" s="75">
        <f>AJ232</f>
        <v>0</v>
      </c>
      <c r="AN232" s="79"/>
      <c r="AO232" s="79"/>
      <c r="AP232" s="79"/>
      <c r="AQ232" s="79"/>
      <c r="AR232" s="75">
        <f>AL232+AN232+AO232+AP232+AQ232</f>
        <v>4493</v>
      </c>
      <c r="AS232" s="75">
        <f>AM232+AQ232</f>
        <v>0</v>
      </c>
      <c r="AT232" s="81"/>
      <c r="AU232" s="81"/>
      <c r="AV232" s="81"/>
      <c r="AW232" s="76">
        <f>AV232+AU232+AT232+AR232</f>
        <v>4493</v>
      </c>
      <c r="AX232" s="76">
        <f>AV232+AS232</f>
        <v>0</v>
      </c>
      <c r="AY232" s="75">
        <v>-2393</v>
      </c>
      <c r="AZ232" s="75"/>
      <c r="BA232" s="75"/>
      <c r="BB232" s="75"/>
      <c r="BC232" s="75"/>
      <c r="BD232" s="75">
        <f>AW232+AY232+AZ232+BA232+BB232+BC232</f>
        <v>2100</v>
      </c>
      <c r="BE232" s="75">
        <f>AX232+BC232</f>
        <v>0</v>
      </c>
      <c r="BF232" s="79"/>
      <c r="BG232" s="79"/>
      <c r="BH232" s="79"/>
      <c r="BI232" s="75">
        <f>BD232+BF232+BG232+BH232</f>
        <v>2100</v>
      </c>
      <c r="BJ232" s="75">
        <f>BE232+BH232</f>
        <v>0</v>
      </c>
      <c r="BK232" s="78"/>
      <c r="BL232" s="78"/>
      <c r="BM232" s="78"/>
      <c r="BN232" s="78"/>
      <c r="BO232" s="75">
        <f>BI232+BK232+BL232+BM232+BN232</f>
        <v>2100</v>
      </c>
      <c r="BP232" s="75">
        <f>BJ232+BN232</f>
        <v>0</v>
      </c>
      <c r="BQ232" s="79"/>
      <c r="BR232" s="79"/>
      <c r="BS232" s="79"/>
      <c r="BT232" s="79"/>
      <c r="BU232" s="75">
        <f>BO232+BQ232+BS232+BT232</f>
        <v>2100</v>
      </c>
      <c r="BV232" s="75">
        <f>BP232+BT232</f>
        <v>0</v>
      </c>
      <c r="BW232" s="75">
        <v>2099</v>
      </c>
      <c r="BX232" s="75">
        <f>BR232+BV232</f>
        <v>0</v>
      </c>
      <c r="BY232" s="77">
        <f t="shared" si="249"/>
        <v>99.95238095238095</v>
      </c>
      <c r="BZ232" s="72"/>
    </row>
    <row r="233" spans="1:78" s="14" customFormat="1" ht="75.75" customHeight="1" hidden="1">
      <c r="A233" s="88" t="s">
        <v>363</v>
      </c>
      <c r="B233" s="89" t="s">
        <v>160</v>
      </c>
      <c r="C233" s="89" t="s">
        <v>132</v>
      </c>
      <c r="D233" s="139" t="s">
        <v>341</v>
      </c>
      <c r="E233" s="89"/>
      <c r="F233" s="75"/>
      <c r="G233" s="75"/>
      <c r="H233" s="75"/>
      <c r="I233" s="79"/>
      <c r="J233" s="79"/>
      <c r="K233" s="79"/>
      <c r="L233" s="79"/>
      <c r="M233" s="75"/>
      <c r="N233" s="78"/>
      <c r="O233" s="79"/>
      <c r="P233" s="79"/>
      <c r="Q233" s="79"/>
      <c r="R233" s="79"/>
      <c r="S233" s="75"/>
      <c r="T233" s="75"/>
      <c r="U233" s="79"/>
      <c r="V233" s="79"/>
      <c r="W233" s="79"/>
      <c r="X233" s="79"/>
      <c r="Y233" s="79"/>
      <c r="Z233" s="79"/>
      <c r="AA233" s="79"/>
      <c r="AB233" s="75"/>
      <c r="AC233" s="75"/>
      <c r="AD233" s="79"/>
      <c r="AE233" s="79"/>
      <c r="AF233" s="75"/>
      <c r="AG233" s="79"/>
      <c r="AH233" s="79"/>
      <c r="AI233" s="75"/>
      <c r="AJ233" s="75"/>
      <c r="AK233" s="79"/>
      <c r="AL233" s="75"/>
      <c r="AM233" s="75"/>
      <c r="AN233" s="79"/>
      <c r="AO233" s="79"/>
      <c r="AP233" s="79"/>
      <c r="AQ233" s="79"/>
      <c r="AR233" s="75"/>
      <c r="AS233" s="75"/>
      <c r="AT233" s="76">
        <f>AT234</f>
        <v>19972</v>
      </c>
      <c r="AU233" s="76">
        <f>AU234</f>
        <v>0</v>
      </c>
      <c r="AV233" s="76">
        <f>AV234</f>
        <v>0</v>
      </c>
      <c r="AW233" s="76">
        <f>AW234</f>
        <v>19972</v>
      </c>
      <c r="AX233" s="76">
        <f aca="true" t="shared" si="270" ref="AX233:BX233">AX234</f>
        <v>0</v>
      </c>
      <c r="AY233" s="75">
        <f t="shared" si="270"/>
        <v>0</v>
      </c>
      <c r="AZ233" s="75">
        <f t="shared" si="270"/>
        <v>0</v>
      </c>
      <c r="BA233" s="75">
        <f t="shared" si="270"/>
        <v>0</v>
      </c>
      <c r="BB233" s="75">
        <f t="shared" si="270"/>
        <v>0</v>
      </c>
      <c r="BC233" s="75">
        <f t="shared" si="270"/>
        <v>0</v>
      </c>
      <c r="BD233" s="75">
        <f t="shared" si="270"/>
        <v>19972</v>
      </c>
      <c r="BE233" s="75">
        <f t="shared" si="270"/>
        <v>0</v>
      </c>
      <c r="BF233" s="75">
        <f t="shared" si="270"/>
        <v>0</v>
      </c>
      <c r="BG233" s="75">
        <f t="shared" si="270"/>
        <v>0</v>
      </c>
      <c r="BH233" s="75">
        <f t="shared" si="270"/>
        <v>0</v>
      </c>
      <c r="BI233" s="75">
        <f t="shared" si="270"/>
        <v>19972</v>
      </c>
      <c r="BJ233" s="75">
        <f t="shared" si="270"/>
        <v>0</v>
      </c>
      <c r="BK233" s="75">
        <f t="shared" si="270"/>
        <v>0</v>
      </c>
      <c r="BL233" s="75">
        <f t="shared" si="270"/>
        <v>0</v>
      </c>
      <c r="BM233" s="75">
        <f t="shared" si="270"/>
        <v>0</v>
      </c>
      <c r="BN233" s="75">
        <f t="shared" si="270"/>
        <v>0</v>
      </c>
      <c r="BO233" s="75">
        <f t="shared" si="270"/>
        <v>19972</v>
      </c>
      <c r="BP233" s="75">
        <f t="shared" si="270"/>
        <v>0</v>
      </c>
      <c r="BQ233" s="75">
        <f t="shared" si="270"/>
        <v>0</v>
      </c>
      <c r="BR233" s="75"/>
      <c r="BS233" s="75">
        <f t="shared" si="270"/>
        <v>-2150</v>
      </c>
      <c r="BT233" s="75">
        <f t="shared" si="270"/>
        <v>0</v>
      </c>
      <c r="BU233" s="75">
        <f t="shared" si="270"/>
        <v>17822</v>
      </c>
      <c r="BV233" s="75">
        <f t="shared" si="270"/>
        <v>0</v>
      </c>
      <c r="BW233" s="75">
        <f t="shared" si="270"/>
        <v>13798</v>
      </c>
      <c r="BX233" s="75">
        <f t="shared" si="270"/>
        <v>0</v>
      </c>
      <c r="BY233" s="77">
        <f t="shared" si="249"/>
        <v>77.42116485242958</v>
      </c>
      <c r="BZ233" s="72"/>
    </row>
    <row r="234" spans="1:78" s="14" customFormat="1" ht="63.75" customHeight="1" hidden="1">
      <c r="A234" s="88" t="s">
        <v>138</v>
      </c>
      <c r="B234" s="89" t="s">
        <v>160</v>
      </c>
      <c r="C234" s="89" t="s">
        <v>132</v>
      </c>
      <c r="D234" s="139" t="s">
        <v>341</v>
      </c>
      <c r="E234" s="89" t="s">
        <v>139</v>
      </c>
      <c r="F234" s="75"/>
      <c r="G234" s="75"/>
      <c r="H234" s="75"/>
      <c r="I234" s="79"/>
      <c r="J234" s="79"/>
      <c r="K234" s="79"/>
      <c r="L234" s="79"/>
      <c r="M234" s="75"/>
      <c r="N234" s="78"/>
      <c r="O234" s="79"/>
      <c r="P234" s="79"/>
      <c r="Q234" s="79"/>
      <c r="R234" s="79"/>
      <c r="S234" s="75"/>
      <c r="T234" s="75"/>
      <c r="U234" s="79"/>
      <c r="V234" s="79"/>
      <c r="W234" s="79"/>
      <c r="X234" s="79"/>
      <c r="Y234" s="79"/>
      <c r="Z234" s="79"/>
      <c r="AA234" s="79"/>
      <c r="AB234" s="75"/>
      <c r="AC234" s="75"/>
      <c r="AD234" s="79"/>
      <c r="AE234" s="79"/>
      <c r="AF234" s="75"/>
      <c r="AG234" s="79"/>
      <c r="AH234" s="79"/>
      <c r="AI234" s="75"/>
      <c r="AJ234" s="75"/>
      <c r="AK234" s="79"/>
      <c r="AL234" s="75"/>
      <c r="AM234" s="75"/>
      <c r="AN234" s="79"/>
      <c r="AO234" s="79"/>
      <c r="AP234" s="79"/>
      <c r="AQ234" s="79"/>
      <c r="AR234" s="75"/>
      <c r="AS234" s="75"/>
      <c r="AT234" s="76">
        <v>19972</v>
      </c>
      <c r="AU234" s="76"/>
      <c r="AV234" s="76"/>
      <c r="AW234" s="76">
        <f>AV234+AU234+AT234+AR234</f>
        <v>19972</v>
      </c>
      <c r="AX234" s="76">
        <f>AV234+AS234</f>
        <v>0</v>
      </c>
      <c r="AY234" s="75"/>
      <c r="AZ234" s="75"/>
      <c r="BA234" s="75"/>
      <c r="BB234" s="75"/>
      <c r="BC234" s="75"/>
      <c r="BD234" s="75">
        <f>AW234+AY234+AZ234+BA234+BB234+BC234</f>
        <v>19972</v>
      </c>
      <c r="BE234" s="75">
        <f>AX234+BC234</f>
        <v>0</v>
      </c>
      <c r="BF234" s="79"/>
      <c r="BG234" s="79"/>
      <c r="BH234" s="79"/>
      <c r="BI234" s="75">
        <f>BD234+BF234+BG234+BH234</f>
        <v>19972</v>
      </c>
      <c r="BJ234" s="75">
        <f>BE234+BH234</f>
        <v>0</v>
      </c>
      <c r="BK234" s="78"/>
      <c r="BL234" s="78"/>
      <c r="BM234" s="78"/>
      <c r="BN234" s="78"/>
      <c r="BO234" s="75">
        <f>BI234+BK234+BL234+BM234+BN234</f>
        <v>19972</v>
      </c>
      <c r="BP234" s="75">
        <f>BJ234+BN234</f>
        <v>0</v>
      </c>
      <c r="BQ234" s="79"/>
      <c r="BR234" s="79"/>
      <c r="BS234" s="75">
        <f>-3378+1228</f>
        <v>-2150</v>
      </c>
      <c r="BT234" s="79"/>
      <c r="BU234" s="75">
        <f>BO234+BQ234+BS234+BT234</f>
        <v>17822</v>
      </c>
      <c r="BV234" s="75">
        <f>BP234+BT234</f>
        <v>0</v>
      </c>
      <c r="BW234" s="75">
        <v>13798</v>
      </c>
      <c r="BX234" s="75">
        <f>BR234+BV234</f>
        <v>0</v>
      </c>
      <c r="BY234" s="77">
        <f t="shared" si="249"/>
        <v>77.42116485242958</v>
      </c>
      <c r="BZ234" s="72"/>
    </row>
    <row r="235" spans="1:78" s="14" customFormat="1" ht="12.75" customHeight="1">
      <c r="A235" s="143"/>
      <c r="B235" s="89"/>
      <c r="C235" s="89"/>
      <c r="D235" s="147"/>
      <c r="E235" s="89"/>
      <c r="F235" s="80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5"/>
      <c r="T235" s="75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5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81"/>
      <c r="AU235" s="81"/>
      <c r="AV235" s="81"/>
      <c r="AW235" s="81"/>
      <c r="AX235" s="81"/>
      <c r="AY235" s="75"/>
      <c r="AZ235" s="75"/>
      <c r="BA235" s="75"/>
      <c r="BB235" s="75"/>
      <c r="BC235" s="75"/>
      <c r="BD235" s="78"/>
      <c r="BE235" s="78"/>
      <c r="BF235" s="79"/>
      <c r="BG235" s="79"/>
      <c r="BH235" s="79"/>
      <c r="BI235" s="79"/>
      <c r="BJ235" s="79"/>
      <c r="BK235" s="78"/>
      <c r="BL235" s="78"/>
      <c r="BM235" s="78"/>
      <c r="BN235" s="78"/>
      <c r="BO235" s="78"/>
      <c r="BP235" s="78"/>
      <c r="BQ235" s="79"/>
      <c r="BR235" s="79"/>
      <c r="BS235" s="79"/>
      <c r="BT235" s="79"/>
      <c r="BU235" s="79"/>
      <c r="BV235" s="79"/>
      <c r="BW235" s="79"/>
      <c r="BX235" s="79"/>
      <c r="BY235" s="72"/>
      <c r="BZ235" s="72"/>
    </row>
    <row r="236" spans="1:78" s="14" customFormat="1" ht="36.75" customHeight="1">
      <c r="A236" s="141" t="s">
        <v>55</v>
      </c>
      <c r="B236" s="67" t="s">
        <v>160</v>
      </c>
      <c r="C236" s="67" t="s">
        <v>160</v>
      </c>
      <c r="D236" s="85"/>
      <c r="E236" s="67"/>
      <c r="F236" s="86">
        <f aca="true" t="shared" si="271" ref="F236:U237">F237</f>
        <v>4068</v>
      </c>
      <c r="G236" s="86">
        <f t="shared" si="271"/>
        <v>11821</v>
      </c>
      <c r="H236" s="86">
        <f t="shared" si="271"/>
        <v>15889</v>
      </c>
      <c r="I236" s="86">
        <f t="shared" si="271"/>
        <v>0</v>
      </c>
      <c r="J236" s="86">
        <f t="shared" si="271"/>
        <v>0</v>
      </c>
      <c r="K236" s="86">
        <f t="shared" si="271"/>
        <v>0</v>
      </c>
      <c r="L236" s="86">
        <f t="shared" si="271"/>
        <v>0</v>
      </c>
      <c r="M236" s="86">
        <f t="shared" si="271"/>
        <v>15889</v>
      </c>
      <c r="N236" s="86">
        <f t="shared" si="271"/>
        <v>0</v>
      </c>
      <c r="O236" s="86">
        <f t="shared" si="271"/>
        <v>0</v>
      </c>
      <c r="P236" s="86"/>
      <c r="Q236" s="86">
        <f t="shared" si="271"/>
        <v>0</v>
      </c>
      <c r="R236" s="86">
        <f t="shared" si="271"/>
        <v>0</v>
      </c>
      <c r="S236" s="86">
        <f t="shared" si="271"/>
        <v>15889</v>
      </c>
      <c r="T236" s="86">
        <f t="shared" si="271"/>
        <v>0</v>
      </c>
      <c r="U236" s="86">
        <f t="shared" si="271"/>
        <v>0</v>
      </c>
      <c r="V236" s="86">
        <f aca="true" t="shared" si="272" ref="T236:AJ237">V237</f>
        <v>0</v>
      </c>
      <c r="W236" s="86">
        <f t="shared" si="272"/>
        <v>0</v>
      </c>
      <c r="X236" s="86">
        <f t="shared" si="272"/>
        <v>0</v>
      </c>
      <c r="Y236" s="86">
        <f t="shared" si="272"/>
        <v>0</v>
      </c>
      <c r="Z236" s="86">
        <f t="shared" si="272"/>
        <v>0</v>
      </c>
      <c r="AA236" s="86">
        <f t="shared" si="272"/>
        <v>0</v>
      </c>
      <c r="AB236" s="86">
        <f t="shared" si="272"/>
        <v>15889</v>
      </c>
      <c r="AC236" s="86">
        <f t="shared" si="272"/>
        <v>0</v>
      </c>
      <c r="AD236" s="86">
        <f t="shared" si="272"/>
        <v>3</v>
      </c>
      <c r="AE236" s="86">
        <f t="shared" si="272"/>
        <v>820</v>
      </c>
      <c r="AF236" s="86">
        <f t="shared" si="272"/>
        <v>747</v>
      </c>
      <c r="AG236" s="86">
        <f t="shared" si="272"/>
        <v>0</v>
      </c>
      <c r="AH236" s="86">
        <f t="shared" si="272"/>
        <v>0</v>
      </c>
      <c r="AI236" s="86">
        <f t="shared" si="272"/>
        <v>17459</v>
      </c>
      <c r="AJ236" s="86">
        <f t="shared" si="272"/>
        <v>0</v>
      </c>
      <c r="AK236" s="86">
        <f>AK237</f>
        <v>0</v>
      </c>
      <c r="AL236" s="86">
        <f>AL237</f>
        <v>17459</v>
      </c>
      <c r="AM236" s="86">
        <f aca="true" t="shared" si="273" ref="AM236:BX236">AM237</f>
        <v>0</v>
      </c>
      <c r="AN236" s="86">
        <f t="shared" si="273"/>
        <v>0</v>
      </c>
      <c r="AO236" s="86">
        <f t="shared" si="273"/>
        <v>815</v>
      </c>
      <c r="AP236" s="86">
        <f t="shared" si="273"/>
        <v>3</v>
      </c>
      <c r="AQ236" s="86">
        <f t="shared" si="273"/>
        <v>0</v>
      </c>
      <c r="AR236" s="86">
        <f t="shared" si="273"/>
        <v>18277</v>
      </c>
      <c r="AS236" s="86">
        <f t="shared" si="273"/>
        <v>0</v>
      </c>
      <c r="AT236" s="87">
        <f t="shared" si="273"/>
        <v>3559</v>
      </c>
      <c r="AU236" s="87">
        <f t="shared" si="273"/>
        <v>0</v>
      </c>
      <c r="AV236" s="87">
        <f t="shared" si="273"/>
        <v>0</v>
      </c>
      <c r="AW236" s="87">
        <f t="shared" si="273"/>
        <v>21836</v>
      </c>
      <c r="AX236" s="87">
        <f t="shared" si="273"/>
        <v>0</v>
      </c>
      <c r="AY236" s="86">
        <f t="shared" si="273"/>
        <v>-58</v>
      </c>
      <c r="AZ236" s="86">
        <f t="shared" si="273"/>
        <v>0</v>
      </c>
      <c r="BA236" s="86">
        <f t="shared" si="273"/>
        <v>0</v>
      </c>
      <c r="BB236" s="86">
        <f t="shared" si="273"/>
        <v>0</v>
      </c>
      <c r="BC236" s="86">
        <f t="shared" si="273"/>
        <v>0</v>
      </c>
      <c r="BD236" s="86">
        <f t="shared" si="273"/>
        <v>21778</v>
      </c>
      <c r="BE236" s="86">
        <f t="shared" si="273"/>
        <v>0</v>
      </c>
      <c r="BF236" s="86">
        <f t="shared" si="273"/>
        <v>0</v>
      </c>
      <c r="BG236" s="86">
        <f t="shared" si="273"/>
        <v>0</v>
      </c>
      <c r="BH236" s="86">
        <f t="shared" si="273"/>
        <v>0</v>
      </c>
      <c r="BI236" s="86">
        <f t="shared" si="273"/>
        <v>21778</v>
      </c>
      <c r="BJ236" s="86">
        <f t="shared" si="273"/>
        <v>0</v>
      </c>
      <c r="BK236" s="86">
        <f t="shared" si="273"/>
        <v>0</v>
      </c>
      <c r="BL236" s="86">
        <f t="shared" si="273"/>
        <v>0</v>
      </c>
      <c r="BM236" s="86">
        <f t="shared" si="273"/>
        <v>0</v>
      </c>
      <c r="BN236" s="86">
        <f t="shared" si="273"/>
        <v>0</v>
      </c>
      <c r="BO236" s="86">
        <f t="shared" si="273"/>
        <v>21778</v>
      </c>
      <c r="BP236" s="86">
        <f t="shared" si="273"/>
        <v>0</v>
      </c>
      <c r="BQ236" s="86">
        <f t="shared" si="273"/>
        <v>0</v>
      </c>
      <c r="BR236" s="86"/>
      <c r="BS236" s="86">
        <f t="shared" si="273"/>
        <v>144</v>
      </c>
      <c r="BT236" s="86">
        <f t="shared" si="273"/>
        <v>0</v>
      </c>
      <c r="BU236" s="86">
        <f t="shared" si="273"/>
        <v>21922</v>
      </c>
      <c r="BV236" s="86">
        <f t="shared" si="273"/>
        <v>0</v>
      </c>
      <c r="BW236" s="86">
        <f t="shared" si="273"/>
        <v>22026</v>
      </c>
      <c r="BX236" s="86">
        <f t="shared" si="273"/>
        <v>0</v>
      </c>
      <c r="BY236" s="71">
        <f t="shared" si="249"/>
        <v>100.47440926922727</v>
      </c>
      <c r="BZ236" s="72"/>
    </row>
    <row r="237" spans="1:78" ht="87" customHeight="1" hidden="1">
      <c r="A237" s="142" t="s">
        <v>133</v>
      </c>
      <c r="B237" s="89" t="s">
        <v>160</v>
      </c>
      <c r="C237" s="89" t="s">
        <v>160</v>
      </c>
      <c r="D237" s="90" t="s">
        <v>163</v>
      </c>
      <c r="E237" s="89"/>
      <c r="F237" s="91">
        <f t="shared" si="271"/>
        <v>4068</v>
      </c>
      <c r="G237" s="91">
        <f t="shared" si="271"/>
        <v>11821</v>
      </c>
      <c r="H237" s="91">
        <f t="shared" si="271"/>
        <v>15889</v>
      </c>
      <c r="I237" s="91">
        <f t="shared" si="271"/>
        <v>0</v>
      </c>
      <c r="J237" s="91">
        <f t="shared" si="271"/>
        <v>0</v>
      </c>
      <c r="K237" s="91">
        <f t="shared" si="271"/>
        <v>0</v>
      </c>
      <c r="L237" s="91">
        <f t="shared" si="271"/>
        <v>0</v>
      </c>
      <c r="M237" s="91">
        <f t="shared" si="271"/>
        <v>15889</v>
      </c>
      <c r="N237" s="91">
        <f t="shared" si="271"/>
        <v>0</v>
      </c>
      <c r="O237" s="91">
        <f t="shared" si="271"/>
        <v>0</v>
      </c>
      <c r="P237" s="91"/>
      <c r="Q237" s="91">
        <f t="shared" si="271"/>
        <v>0</v>
      </c>
      <c r="R237" s="91">
        <f t="shared" si="271"/>
        <v>0</v>
      </c>
      <c r="S237" s="91">
        <f t="shared" si="271"/>
        <v>15889</v>
      </c>
      <c r="T237" s="91">
        <f t="shared" si="272"/>
        <v>0</v>
      </c>
      <c r="U237" s="91">
        <f t="shared" si="272"/>
        <v>0</v>
      </c>
      <c r="V237" s="91">
        <f t="shared" si="272"/>
        <v>0</v>
      </c>
      <c r="W237" s="91">
        <f t="shared" si="272"/>
        <v>0</v>
      </c>
      <c r="X237" s="91">
        <f t="shared" si="272"/>
        <v>0</v>
      </c>
      <c r="Y237" s="91">
        <f t="shared" si="272"/>
        <v>0</v>
      </c>
      <c r="Z237" s="91">
        <f t="shared" si="272"/>
        <v>0</v>
      </c>
      <c r="AA237" s="91">
        <f t="shared" si="272"/>
        <v>0</v>
      </c>
      <c r="AB237" s="91">
        <f t="shared" si="272"/>
        <v>15889</v>
      </c>
      <c r="AC237" s="91">
        <f aca="true" t="shared" si="274" ref="AC237:BX237">AC238</f>
        <v>0</v>
      </c>
      <c r="AD237" s="91">
        <f t="shared" si="274"/>
        <v>3</v>
      </c>
      <c r="AE237" s="91">
        <f t="shared" si="274"/>
        <v>820</v>
      </c>
      <c r="AF237" s="91">
        <f t="shared" si="274"/>
        <v>747</v>
      </c>
      <c r="AG237" s="91">
        <f t="shared" si="274"/>
        <v>0</v>
      </c>
      <c r="AH237" s="91">
        <f t="shared" si="274"/>
        <v>0</v>
      </c>
      <c r="AI237" s="91">
        <f t="shared" si="274"/>
        <v>17459</v>
      </c>
      <c r="AJ237" s="91">
        <f t="shared" si="274"/>
        <v>0</v>
      </c>
      <c r="AK237" s="91">
        <f t="shared" si="274"/>
        <v>0</v>
      </c>
      <c r="AL237" s="91">
        <f t="shared" si="274"/>
        <v>17459</v>
      </c>
      <c r="AM237" s="91">
        <f t="shared" si="274"/>
        <v>0</v>
      </c>
      <c r="AN237" s="91">
        <f t="shared" si="274"/>
        <v>0</v>
      </c>
      <c r="AO237" s="91">
        <f t="shared" si="274"/>
        <v>815</v>
      </c>
      <c r="AP237" s="91">
        <f t="shared" si="274"/>
        <v>3</v>
      </c>
      <c r="AQ237" s="91">
        <f t="shared" si="274"/>
        <v>0</v>
      </c>
      <c r="AR237" s="91">
        <f t="shared" si="274"/>
        <v>18277</v>
      </c>
      <c r="AS237" s="91">
        <f t="shared" si="274"/>
        <v>0</v>
      </c>
      <c r="AT237" s="92">
        <f t="shared" si="274"/>
        <v>3559</v>
      </c>
      <c r="AU237" s="92">
        <f t="shared" si="274"/>
        <v>0</v>
      </c>
      <c r="AV237" s="92">
        <f t="shared" si="274"/>
        <v>0</v>
      </c>
      <c r="AW237" s="92">
        <f t="shared" si="274"/>
        <v>21836</v>
      </c>
      <c r="AX237" s="92">
        <f t="shared" si="274"/>
        <v>0</v>
      </c>
      <c r="AY237" s="91">
        <f t="shared" si="274"/>
        <v>-58</v>
      </c>
      <c r="AZ237" s="91">
        <f t="shared" si="274"/>
        <v>0</v>
      </c>
      <c r="BA237" s="91">
        <f t="shared" si="274"/>
        <v>0</v>
      </c>
      <c r="BB237" s="91">
        <f t="shared" si="274"/>
        <v>0</v>
      </c>
      <c r="BC237" s="91">
        <f t="shared" si="274"/>
        <v>0</v>
      </c>
      <c r="BD237" s="91">
        <f t="shared" si="274"/>
        <v>21778</v>
      </c>
      <c r="BE237" s="91">
        <f t="shared" si="274"/>
        <v>0</v>
      </c>
      <c r="BF237" s="91">
        <f t="shared" si="274"/>
        <v>0</v>
      </c>
      <c r="BG237" s="91">
        <f t="shared" si="274"/>
        <v>0</v>
      </c>
      <c r="BH237" s="91">
        <f t="shared" si="274"/>
        <v>0</v>
      </c>
      <c r="BI237" s="91">
        <f t="shared" si="274"/>
        <v>21778</v>
      </c>
      <c r="BJ237" s="91">
        <f t="shared" si="274"/>
        <v>0</v>
      </c>
      <c r="BK237" s="91">
        <f t="shared" si="274"/>
        <v>0</v>
      </c>
      <c r="BL237" s="91">
        <f t="shared" si="274"/>
        <v>0</v>
      </c>
      <c r="BM237" s="91">
        <f t="shared" si="274"/>
        <v>0</v>
      </c>
      <c r="BN237" s="91">
        <f t="shared" si="274"/>
        <v>0</v>
      </c>
      <c r="BO237" s="91">
        <f t="shared" si="274"/>
        <v>21778</v>
      </c>
      <c r="BP237" s="91">
        <f t="shared" si="274"/>
        <v>0</v>
      </c>
      <c r="BQ237" s="91">
        <f t="shared" si="274"/>
        <v>0</v>
      </c>
      <c r="BR237" s="91"/>
      <c r="BS237" s="91">
        <f t="shared" si="274"/>
        <v>144</v>
      </c>
      <c r="BT237" s="91">
        <f t="shared" si="274"/>
        <v>0</v>
      </c>
      <c r="BU237" s="91">
        <f t="shared" si="274"/>
        <v>21922</v>
      </c>
      <c r="BV237" s="91">
        <f t="shared" si="274"/>
        <v>0</v>
      </c>
      <c r="BW237" s="91">
        <f t="shared" si="274"/>
        <v>22026</v>
      </c>
      <c r="BX237" s="91">
        <f t="shared" si="274"/>
        <v>0</v>
      </c>
      <c r="BY237" s="77">
        <f t="shared" si="249"/>
        <v>100.47440926922727</v>
      </c>
      <c r="BZ237" s="72"/>
    </row>
    <row r="238" spans="1:78" s="14" customFormat="1" ht="40.5" customHeight="1" hidden="1">
      <c r="A238" s="142" t="s">
        <v>129</v>
      </c>
      <c r="B238" s="89" t="s">
        <v>160</v>
      </c>
      <c r="C238" s="89" t="s">
        <v>160</v>
      </c>
      <c r="D238" s="90" t="s">
        <v>124</v>
      </c>
      <c r="E238" s="89" t="s">
        <v>130</v>
      </c>
      <c r="F238" s="75">
        <v>4068</v>
      </c>
      <c r="G238" s="75">
        <f>H238-F238</f>
        <v>11821</v>
      </c>
      <c r="H238" s="75">
        <v>15889</v>
      </c>
      <c r="I238" s="79"/>
      <c r="J238" s="79"/>
      <c r="K238" s="79"/>
      <c r="L238" s="79"/>
      <c r="M238" s="75">
        <f>H238+J238+K238+L238</f>
        <v>15889</v>
      </c>
      <c r="N238" s="78">
        <f>I238+L238</f>
        <v>0</v>
      </c>
      <c r="O238" s="79"/>
      <c r="P238" s="79"/>
      <c r="Q238" s="79"/>
      <c r="R238" s="79"/>
      <c r="S238" s="75">
        <f>M238+O238+P238+Q238+R238</f>
        <v>15889</v>
      </c>
      <c r="T238" s="75">
        <f>N238+R238</f>
        <v>0</v>
      </c>
      <c r="U238" s="79"/>
      <c r="V238" s="78"/>
      <c r="W238" s="79"/>
      <c r="X238" s="79"/>
      <c r="Y238" s="79"/>
      <c r="Z238" s="79"/>
      <c r="AA238" s="79"/>
      <c r="AB238" s="75">
        <f>S238+U238+V238+W238+X238+Y238+Z238+AA238</f>
        <v>15889</v>
      </c>
      <c r="AC238" s="75">
        <f>T238+Z238+AA238</f>
        <v>0</v>
      </c>
      <c r="AD238" s="78">
        <v>3</v>
      </c>
      <c r="AE238" s="78">
        <v>820</v>
      </c>
      <c r="AF238" s="75">
        <f>747</f>
        <v>747</v>
      </c>
      <c r="AG238" s="79"/>
      <c r="AH238" s="79"/>
      <c r="AI238" s="75">
        <f>AB238+AD238+AE238+AF238+AG238+AH238</f>
        <v>17459</v>
      </c>
      <c r="AJ238" s="75">
        <f>AC238+AH238</f>
        <v>0</v>
      </c>
      <c r="AK238" s="79"/>
      <c r="AL238" s="75">
        <f>AI238+AK238</f>
        <v>17459</v>
      </c>
      <c r="AM238" s="75">
        <f>AJ238</f>
        <v>0</v>
      </c>
      <c r="AN238" s="79"/>
      <c r="AO238" s="78">
        <f>99+716</f>
        <v>815</v>
      </c>
      <c r="AP238" s="78">
        <v>3</v>
      </c>
      <c r="AQ238" s="79"/>
      <c r="AR238" s="75">
        <f>AL238+AN238+AO238+AP238+AQ238</f>
        <v>18277</v>
      </c>
      <c r="AS238" s="75">
        <f>AM238+AQ238</f>
        <v>0</v>
      </c>
      <c r="AT238" s="76">
        <v>3559</v>
      </c>
      <c r="AU238" s="76"/>
      <c r="AV238" s="81"/>
      <c r="AW238" s="76">
        <f>AV238+AU238+AT238+AR238</f>
        <v>21836</v>
      </c>
      <c r="AX238" s="76">
        <f>AV238+AS238</f>
        <v>0</v>
      </c>
      <c r="AY238" s="75">
        <v>-58</v>
      </c>
      <c r="AZ238" s="75"/>
      <c r="BA238" s="75"/>
      <c r="BB238" s="75"/>
      <c r="BC238" s="75"/>
      <c r="BD238" s="75">
        <f>AW238+AY238+AZ238+BA238+BB238+BC238</f>
        <v>21778</v>
      </c>
      <c r="BE238" s="75">
        <f>AX238+BC238</f>
        <v>0</v>
      </c>
      <c r="BF238" s="79"/>
      <c r="BG238" s="79"/>
      <c r="BH238" s="79"/>
      <c r="BI238" s="75">
        <f>BD238+BF238+BG238+BH238</f>
        <v>21778</v>
      </c>
      <c r="BJ238" s="75">
        <f>BE238+BH238</f>
        <v>0</v>
      </c>
      <c r="BK238" s="78"/>
      <c r="BL238" s="78"/>
      <c r="BM238" s="78"/>
      <c r="BN238" s="78"/>
      <c r="BO238" s="75">
        <f>BI238+BK238+BL238+BM238+BN238</f>
        <v>21778</v>
      </c>
      <c r="BP238" s="75">
        <f>BJ238+BN238</f>
        <v>0</v>
      </c>
      <c r="BQ238" s="79"/>
      <c r="BR238" s="79"/>
      <c r="BS238" s="75">
        <f>1228+144-1228</f>
        <v>144</v>
      </c>
      <c r="BT238" s="79"/>
      <c r="BU238" s="75">
        <f>BO238+BQ238+BS238+BT238</f>
        <v>21922</v>
      </c>
      <c r="BV238" s="75">
        <f>BP238+BT238</f>
        <v>0</v>
      </c>
      <c r="BW238" s="75">
        <v>22026</v>
      </c>
      <c r="BX238" s="75">
        <f>BR238+BV238</f>
        <v>0</v>
      </c>
      <c r="BY238" s="77">
        <f t="shared" si="249"/>
        <v>100.47440926922727</v>
      </c>
      <c r="BZ238" s="72"/>
    </row>
    <row r="239" spans="1:78" ht="13.5" customHeight="1">
      <c r="A239" s="110"/>
      <c r="B239" s="83"/>
      <c r="C239" s="83"/>
      <c r="D239" s="84"/>
      <c r="E239" s="83"/>
      <c r="F239" s="50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2"/>
      <c r="T239" s="52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2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3"/>
      <c r="AU239" s="53"/>
      <c r="AV239" s="53"/>
      <c r="AW239" s="53"/>
      <c r="AX239" s="53"/>
      <c r="AY239" s="52"/>
      <c r="AZ239" s="52"/>
      <c r="BA239" s="52"/>
      <c r="BB239" s="52"/>
      <c r="BC239" s="52"/>
      <c r="BD239" s="54"/>
      <c r="BE239" s="54"/>
      <c r="BF239" s="51"/>
      <c r="BG239" s="51"/>
      <c r="BH239" s="51"/>
      <c r="BI239" s="51"/>
      <c r="BJ239" s="51"/>
      <c r="BK239" s="54"/>
      <c r="BL239" s="54"/>
      <c r="BM239" s="54"/>
      <c r="BN239" s="54"/>
      <c r="BO239" s="54"/>
      <c r="BP239" s="54"/>
      <c r="BQ239" s="51"/>
      <c r="BR239" s="51"/>
      <c r="BS239" s="51"/>
      <c r="BT239" s="51"/>
      <c r="BU239" s="51"/>
      <c r="BV239" s="51"/>
      <c r="BW239" s="51"/>
      <c r="BX239" s="51"/>
      <c r="BY239" s="72"/>
      <c r="BZ239" s="72"/>
    </row>
    <row r="240" spans="1:78" s="10" customFormat="1" ht="40.5" customHeight="1">
      <c r="A240" s="55" t="s">
        <v>56</v>
      </c>
      <c r="B240" s="56" t="s">
        <v>57</v>
      </c>
      <c r="C240" s="56"/>
      <c r="D240" s="57"/>
      <c r="E240" s="56"/>
      <c r="F240" s="120">
        <f aca="true" t="shared" si="275" ref="F240:N240">F242+F246</f>
        <v>14450</v>
      </c>
      <c r="G240" s="120">
        <f t="shared" si="275"/>
        <v>41507</v>
      </c>
      <c r="H240" s="120">
        <f t="shared" si="275"/>
        <v>55957</v>
      </c>
      <c r="I240" s="120">
        <f t="shared" si="275"/>
        <v>35500</v>
      </c>
      <c r="J240" s="120">
        <f t="shared" si="275"/>
        <v>0</v>
      </c>
      <c r="K240" s="120">
        <f t="shared" si="275"/>
        <v>0</v>
      </c>
      <c r="L240" s="120">
        <f t="shared" si="275"/>
        <v>0</v>
      </c>
      <c r="M240" s="120">
        <f t="shared" si="275"/>
        <v>55957</v>
      </c>
      <c r="N240" s="120">
        <f t="shared" si="275"/>
        <v>35500</v>
      </c>
      <c r="O240" s="120">
        <f aca="true" t="shared" si="276" ref="O240:T240">O242+O246</f>
        <v>0</v>
      </c>
      <c r="P240" s="120">
        <f t="shared" si="276"/>
        <v>0</v>
      </c>
      <c r="Q240" s="120">
        <f t="shared" si="276"/>
        <v>0</v>
      </c>
      <c r="R240" s="120">
        <f t="shared" si="276"/>
        <v>0</v>
      </c>
      <c r="S240" s="120">
        <f t="shared" si="276"/>
        <v>55957</v>
      </c>
      <c r="T240" s="120">
        <f t="shared" si="276"/>
        <v>35500</v>
      </c>
      <c r="U240" s="120">
        <f aca="true" t="shared" si="277" ref="U240:AB240">U242+U246</f>
        <v>0</v>
      </c>
      <c r="V240" s="120">
        <f t="shared" si="277"/>
        <v>0</v>
      </c>
      <c r="W240" s="120">
        <f t="shared" si="277"/>
        <v>0</v>
      </c>
      <c r="X240" s="120">
        <f t="shared" si="277"/>
        <v>0</v>
      </c>
      <c r="Y240" s="120">
        <f t="shared" si="277"/>
        <v>0</v>
      </c>
      <c r="Z240" s="120">
        <f t="shared" si="277"/>
        <v>0</v>
      </c>
      <c r="AA240" s="120">
        <f t="shared" si="277"/>
        <v>-35500</v>
      </c>
      <c r="AB240" s="120">
        <f t="shared" si="277"/>
        <v>20457</v>
      </c>
      <c r="AC240" s="120">
        <f aca="true" t="shared" si="278" ref="AC240:AI240">AC242+AC246</f>
        <v>0</v>
      </c>
      <c r="AD240" s="120">
        <f t="shared" si="278"/>
        <v>0</v>
      </c>
      <c r="AE240" s="120">
        <f t="shared" si="278"/>
        <v>0</v>
      </c>
      <c r="AF240" s="120">
        <f t="shared" si="278"/>
        <v>-6657</v>
      </c>
      <c r="AG240" s="120">
        <f t="shared" si="278"/>
        <v>0</v>
      </c>
      <c r="AH240" s="120">
        <f t="shared" si="278"/>
        <v>0</v>
      </c>
      <c r="AI240" s="120">
        <f t="shared" si="278"/>
        <v>13800</v>
      </c>
      <c r="AJ240" s="120">
        <f>AJ242+AJ246</f>
        <v>0</v>
      </c>
      <c r="AK240" s="120">
        <f>AK242+AK246</f>
        <v>0</v>
      </c>
      <c r="AL240" s="120">
        <f>AL242+AL246</f>
        <v>13800</v>
      </c>
      <c r="AM240" s="120">
        <f aca="true" t="shared" si="279" ref="AM240:AS240">AM242+AM246</f>
        <v>0</v>
      </c>
      <c r="AN240" s="120">
        <f t="shared" si="279"/>
        <v>0</v>
      </c>
      <c r="AO240" s="120">
        <f>AO242+AO246</f>
        <v>0</v>
      </c>
      <c r="AP240" s="120">
        <f t="shared" si="279"/>
        <v>0</v>
      </c>
      <c r="AQ240" s="120">
        <f t="shared" si="279"/>
        <v>0</v>
      </c>
      <c r="AR240" s="120">
        <f t="shared" si="279"/>
        <v>13800</v>
      </c>
      <c r="AS240" s="120">
        <f t="shared" si="279"/>
        <v>0</v>
      </c>
      <c r="AT240" s="121">
        <f>AT242+AT246</f>
        <v>0</v>
      </c>
      <c r="AU240" s="121">
        <f>AU242+AU246</f>
        <v>0</v>
      </c>
      <c r="AV240" s="121">
        <f>AV242+AV246</f>
        <v>0</v>
      </c>
      <c r="AW240" s="121">
        <f>AW242+AW246</f>
        <v>13800</v>
      </c>
      <c r="AX240" s="121">
        <f aca="true" t="shared" si="280" ref="AX240:BE240">AX242+AX246</f>
        <v>0</v>
      </c>
      <c r="AY240" s="120">
        <f t="shared" si="280"/>
        <v>-201</v>
      </c>
      <c r="AZ240" s="120">
        <f t="shared" si="280"/>
        <v>-4100</v>
      </c>
      <c r="BA240" s="120">
        <f>BA242+BA246</f>
        <v>0</v>
      </c>
      <c r="BB240" s="120">
        <f>BB242+BB246</f>
        <v>0</v>
      </c>
      <c r="BC240" s="120">
        <f t="shared" si="280"/>
        <v>4400</v>
      </c>
      <c r="BD240" s="120">
        <f t="shared" si="280"/>
        <v>13899</v>
      </c>
      <c r="BE240" s="120">
        <f t="shared" si="280"/>
        <v>4400</v>
      </c>
      <c r="BF240" s="120">
        <f>BF242+BF246</f>
        <v>0</v>
      </c>
      <c r="BG240" s="120">
        <f>BG242+BG246</f>
        <v>0</v>
      </c>
      <c r="BH240" s="120">
        <f>BH242+BH246</f>
        <v>0</v>
      </c>
      <c r="BI240" s="120">
        <f>BI242+BI246</f>
        <v>13899</v>
      </c>
      <c r="BJ240" s="120">
        <f>BJ242+BJ246</f>
        <v>4400</v>
      </c>
      <c r="BK240" s="120">
        <f aca="true" t="shared" si="281" ref="BK240:BP240">BK242+BK246</f>
        <v>0</v>
      </c>
      <c r="BL240" s="120">
        <f t="shared" si="281"/>
        <v>0</v>
      </c>
      <c r="BM240" s="120">
        <f t="shared" si="281"/>
        <v>0</v>
      </c>
      <c r="BN240" s="120">
        <f t="shared" si="281"/>
        <v>0</v>
      </c>
      <c r="BO240" s="120">
        <f t="shared" si="281"/>
        <v>13899</v>
      </c>
      <c r="BP240" s="120">
        <f t="shared" si="281"/>
        <v>4400</v>
      </c>
      <c r="BQ240" s="120">
        <f>BQ242+BQ246</f>
        <v>-1</v>
      </c>
      <c r="BR240" s="120"/>
      <c r="BS240" s="120">
        <f aca="true" t="shared" si="282" ref="BS240:BX240">BS242+BS246</f>
        <v>0</v>
      </c>
      <c r="BT240" s="120">
        <f t="shared" si="282"/>
        <v>0</v>
      </c>
      <c r="BU240" s="120">
        <f t="shared" si="282"/>
        <v>13898</v>
      </c>
      <c r="BV240" s="120">
        <f t="shared" si="282"/>
        <v>4400</v>
      </c>
      <c r="BW240" s="120">
        <f t="shared" si="282"/>
        <v>12682</v>
      </c>
      <c r="BX240" s="120">
        <f t="shared" si="282"/>
        <v>3792</v>
      </c>
      <c r="BY240" s="60">
        <f t="shared" si="249"/>
        <v>91.25053964599222</v>
      </c>
      <c r="BZ240" s="60">
        <f aca="true" t="shared" si="283" ref="BZ240:BZ246">BX240/BV240*100</f>
        <v>86.18181818181819</v>
      </c>
    </row>
    <row r="241" spans="1:78" s="10" customFormat="1" ht="5.25" customHeight="1" hidden="1">
      <c r="A241" s="55"/>
      <c r="B241" s="56"/>
      <c r="C241" s="56"/>
      <c r="D241" s="57"/>
      <c r="E241" s="56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1"/>
      <c r="AU241" s="121"/>
      <c r="AV241" s="121"/>
      <c r="AW241" s="121"/>
      <c r="AX241" s="121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60" t="e">
        <f t="shared" si="249"/>
        <v>#DIV/0!</v>
      </c>
      <c r="BZ241" s="60" t="e">
        <f t="shared" si="283"/>
        <v>#DIV/0!</v>
      </c>
    </row>
    <row r="242" spans="1:78" s="10" customFormat="1" ht="40.5" customHeight="1" hidden="1">
      <c r="A242" s="148" t="s">
        <v>261</v>
      </c>
      <c r="B242" s="127" t="s">
        <v>151</v>
      </c>
      <c r="C242" s="127" t="s">
        <v>128</v>
      </c>
      <c r="D242" s="149"/>
      <c r="E242" s="56"/>
      <c r="F242" s="150">
        <f aca="true" t="shared" si="284" ref="F242:U243">F243</f>
        <v>0</v>
      </c>
      <c r="G242" s="150">
        <f t="shared" si="284"/>
        <v>0</v>
      </c>
      <c r="H242" s="150">
        <f t="shared" si="284"/>
        <v>0</v>
      </c>
      <c r="I242" s="150">
        <f t="shared" si="284"/>
        <v>0</v>
      </c>
      <c r="J242" s="150">
        <f t="shared" si="284"/>
        <v>0</v>
      </c>
      <c r="K242" s="150">
        <f t="shared" si="284"/>
        <v>0</v>
      </c>
      <c r="L242" s="150">
        <f t="shared" si="284"/>
        <v>0</v>
      </c>
      <c r="M242" s="150">
        <f t="shared" si="284"/>
        <v>0</v>
      </c>
      <c r="N242" s="150">
        <f t="shared" si="284"/>
        <v>0</v>
      </c>
      <c r="O242" s="150">
        <f t="shared" si="284"/>
        <v>0</v>
      </c>
      <c r="P242" s="150">
        <f t="shared" si="284"/>
        <v>0</v>
      </c>
      <c r="Q242" s="150">
        <f t="shared" si="284"/>
        <v>0</v>
      </c>
      <c r="R242" s="150">
        <f t="shared" si="284"/>
        <v>0</v>
      </c>
      <c r="S242" s="150">
        <f t="shared" si="284"/>
        <v>0</v>
      </c>
      <c r="T242" s="150">
        <f t="shared" si="284"/>
        <v>0</v>
      </c>
      <c r="U242" s="150">
        <f t="shared" si="284"/>
        <v>0</v>
      </c>
      <c r="V242" s="150">
        <f aca="true" t="shared" si="285" ref="U242:AJ243">V243</f>
        <v>0</v>
      </c>
      <c r="W242" s="150">
        <f t="shared" si="285"/>
        <v>0</v>
      </c>
      <c r="X242" s="150">
        <f t="shared" si="285"/>
        <v>0</v>
      </c>
      <c r="Y242" s="150">
        <f t="shared" si="285"/>
        <v>0</v>
      </c>
      <c r="Z242" s="150">
        <f t="shared" si="285"/>
        <v>0</v>
      </c>
      <c r="AA242" s="150">
        <f t="shared" si="285"/>
        <v>0</v>
      </c>
      <c r="AB242" s="150">
        <f t="shared" si="285"/>
        <v>0</v>
      </c>
      <c r="AC242" s="150">
        <f t="shared" si="285"/>
        <v>0</v>
      </c>
      <c r="AD242" s="150">
        <f t="shared" si="285"/>
        <v>0</v>
      </c>
      <c r="AE242" s="150">
        <f t="shared" si="285"/>
        <v>0</v>
      </c>
      <c r="AF242" s="150">
        <f t="shared" si="285"/>
        <v>0</v>
      </c>
      <c r="AG242" s="150">
        <f t="shared" si="285"/>
        <v>0</v>
      </c>
      <c r="AH242" s="150">
        <f t="shared" si="285"/>
        <v>0</v>
      </c>
      <c r="AI242" s="150">
        <f t="shared" si="285"/>
        <v>0</v>
      </c>
      <c r="AJ242" s="150">
        <f t="shared" si="285"/>
        <v>0</v>
      </c>
      <c r="AK242" s="150">
        <f aca="true" t="shared" si="286" ref="AJ242:AY243">AK243</f>
        <v>0</v>
      </c>
      <c r="AL242" s="150">
        <f t="shared" si="286"/>
        <v>0</v>
      </c>
      <c r="AM242" s="150">
        <f t="shared" si="286"/>
        <v>0</v>
      </c>
      <c r="AN242" s="150">
        <f t="shared" si="286"/>
        <v>0</v>
      </c>
      <c r="AO242" s="150">
        <f t="shared" si="286"/>
        <v>0</v>
      </c>
      <c r="AP242" s="150">
        <f t="shared" si="286"/>
        <v>0</v>
      </c>
      <c r="AQ242" s="150">
        <f t="shared" si="286"/>
        <v>0</v>
      </c>
      <c r="AR242" s="150">
        <f t="shared" si="286"/>
        <v>0</v>
      </c>
      <c r="AS242" s="150">
        <f t="shared" si="286"/>
        <v>0</v>
      </c>
      <c r="AT242" s="151">
        <f t="shared" si="286"/>
        <v>0</v>
      </c>
      <c r="AU242" s="151">
        <f t="shared" si="286"/>
        <v>0</v>
      </c>
      <c r="AV242" s="151">
        <f t="shared" si="286"/>
        <v>0</v>
      </c>
      <c r="AW242" s="151">
        <f t="shared" si="286"/>
        <v>0</v>
      </c>
      <c r="AX242" s="151">
        <f t="shared" si="286"/>
        <v>0</v>
      </c>
      <c r="AY242" s="150">
        <f t="shared" si="286"/>
        <v>0</v>
      </c>
      <c r="AZ242" s="150">
        <f aca="true" t="shared" si="287" ref="AX242:BM243">AZ243</f>
        <v>0</v>
      </c>
      <c r="BA242" s="150">
        <f t="shared" si="287"/>
        <v>0</v>
      </c>
      <c r="BB242" s="150">
        <f t="shared" si="287"/>
        <v>0</v>
      </c>
      <c r="BC242" s="150">
        <f t="shared" si="287"/>
        <v>0</v>
      </c>
      <c r="BD242" s="150">
        <f t="shared" si="287"/>
        <v>0</v>
      </c>
      <c r="BE242" s="150">
        <f t="shared" si="287"/>
        <v>0</v>
      </c>
      <c r="BF242" s="150">
        <f t="shared" si="287"/>
        <v>0</v>
      </c>
      <c r="BG242" s="150">
        <f t="shared" si="287"/>
        <v>0</v>
      </c>
      <c r="BH242" s="150">
        <f t="shared" si="287"/>
        <v>0</v>
      </c>
      <c r="BI242" s="150">
        <f t="shared" si="287"/>
        <v>0</v>
      </c>
      <c r="BJ242" s="150">
        <f t="shared" si="287"/>
        <v>0</v>
      </c>
      <c r="BK242" s="150">
        <f t="shared" si="287"/>
        <v>0</v>
      </c>
      <c r="BL242" s="150">
        <f t="shared" si="287"/>
        <v>0</v>
      </c>
      <c r="BM242" s="150">
        <f t="shared" si="287"/>
        <v>0</v>
      </c>
      <c r="BN242" s="150">
        <f aca="true" t="shared" si="288" ref="BK242:BX243">BN243</f>
        <v>0</v>
      </c>
      <c r="BO242" s="150">
        <f t="shared" si="288"/>
        <v>0</v>
      </c>
      <c r="BP242" s="150">
        <f t="shared" si="288"/>
        <v>0</v>
      </c>
      <c r="BQ242" s="150">
        <f t="shared" si="288"/>
        <v>0</v>
      </c>
      <c r="BR242" s="150"/>
      <c r="BS242" s="150">
        <f t="shared" si="288"/>
        <v>0</v>
      </c>
      <c r="BT242" s="150">
        <f t="shared" si="288"/>
        <v>0</v>
      </c>
      <c r="BU242" s="150">
        <f t="shared" si="288"/>
        <v>0</v>
      </c>
      <c r="BV242" s="150">
        <f t="shared" si="288"/>
        <v>0</v>
      </c>
      <c r="BW242" s="150">
        <f t="shared" si="288"/>
        <v>0</v>
      </c>
      <c r="BX242" s="150">
        <f t="shared" si="288"/>
        <v>0</v>
      </c>
      <c r="BY242" s="60" t="e">
        <f t="shared" si="249"/>
        <v>#DIV/0!</v>
      </c>
      <c r="BZ242" s="60" t="e">
        <f t="shared" si="283"/>
        <v>#DIV/0!</v>
      </c>
    </row>
    <row r="243" spans="1:78" s="10" customFormat="1" ht="36.75" customHeight="1" hidden="1">
      <c r="A243" s="88" t="s">
        <v>260</v>
      </c>
      <c r="B243" s="89" t="s">
        <v>151</v>
      </c>
      <c r="C243" s="89" t="s">
        <v>128</v>
      </c>
      <c r="D243" s="90" t="s">
        <v>259</v>
      </c>
      <c r="E243" s="89"/>
      <c r="F243" s="75">
        <f t="shared" si="284"/>
        <v>0</v>
      </c>
      <c r="G243" s="75">
        <f t="shared" si="284"/>
        <v>0</v>
      </c>
      <c r="H243" s="75">
        <f t="shared" si="284"/>
        <v>0</v>
      </c>
      <c r="I243" s="75">
        <f t="shared" si="284"/>
        <v>0</v>
      </c>
      <c r="J243" s="75">
        <f t="shared" si="284"/>
        <v>0</v>
      </c>
      <c r="K243" s="75">
        <f t="shared" si="284"/>
        <v>0</v>
      </c>
      <c r="L243" s="75">
        <f t="shared" si="284"/>
        <v>0</v>
      </c>
      <c r="M243" s="75">
        <f t="shared" si="284"/>
        <v>0</v>
      </c>
      <c r="N243" s="75">
        <f t="shared" si="284"/>
        <v>0</v>
      </c>
      <c r="O243" s="75">
        <f t="shared" si="284"/>
        <v>0</v>
      </c>
      <c r="P243" s="75">
        <f t="shared" si="284"/>
        <v>0</v>
      </c>
      <c r="Q243" s="75">
        <f t="shared" si="284"/>
        <v>0</v>
      </c>
      <c r="R243" s="75">
        <f t="shared" si="284"/>
        <v>0</v>
      </c>
      <c r="S243" s="75">
        <f t="shared" si="284"/>
        <v>0</v>
      </c>
      <c r="T243" s="75">
        <f t="shared" si="284"/>
        <v>0</v>
      </c>
      <c r="U243" s="75">
        <f t="shared" si="285"/>
        <v>0</v>
      </c>
      <c r="V243" s="75">
        <f t="shared" si="285"/>
        <v>0</v>
      </c>
      <c r="W243" s="75">
        <f t="shared" si="285"/>
        <v>0</v>
      </c>
      <c r="X243" s="75">
        <f t="shared" si="285"/>
        <v>0</v>
      </c>
      <c r="Y243" s="75">
        <f t="shared" si="285"/>
        <v>0</v>
      </c>
      <c r="Z243" s="75">
        <f t="shared" si="285"/>
        <v>0</v>
      </c>
      <c r="AA243" s="75">
        <f t="shared" si="285"/>
        <v>0</v>
      </c>
      <c r="AB243" s="75">
        <f t="shared" si="285"/>
        <v>0</v>
      </c>
      <c r="AC243" s="75">
        <f t="shared" si="285"/>
        <v>0</v>
      </c>
      <c r="AD243" s="75">
        <f t="shared" si="285"/>
        <v>0</v>
      </c>
      <c r="AE243" s="75">
        <f t="shared" si="285"/>
        <v>0</v>
      </c>
      <c r="AF243" s="75">
        <f t="shared" si="285"/>
        <v>0</v>
      </c>
      <c r="AG243" s="75">
        <f t="shared" si="285"/>
        <v>0</v>
      </c>
      <c r="AH243" s="75">
        <f t="shared" si="285"/>
        <v>0</v>
      </c>
      <c r="AI243" s="75">
        <f t="shared" si="285"/>
        <v>0</v>
      </c>
      <c r="AJ243" s="75">
        <f t="shared" si="286"/>
        <v>0</v>
      </c>
      <c r="AK243" s="75">
        <f t="shared" si="286"/>
        <v>0</v>
      </c>
      <c r="AL243" s="75">
        <f t="shared" si="286"/>
        <v>0</v>
      </c>
      <c r="AM243" s="75">
        <f t="shared" si="286"/>
        <v>0</v>
      </c>
      <c r="AN243" s="75">
        <f t="shared" si="286"/>
        <v>0</v>
      </c>
      <c r="AO243" s="75">
        <f t="shared" si="286"/>
        <v>0</v>
      </c>
      <c r="AP243" s="75">
        <f t="shared" si="286"/>
        <v>0</v>
      </c>
      <c r="AQ243" s="75">
        <f t="shared" si="286"/>
        <v>0</v>
      </c>
      <c r="AR243" s="75">
        <f t="shared" si="286"/>
        <v>0</v>
      </c>
      <c r="AS243" s="75">
        <f t="shared" si="286"/>
        <v>0</v>
      </c>
      <c r="AT243" s="76">
        <f t="shared" si="286"/>
        <v>0</v>
      </c>
      <c r="AU243" s="76">
        <f t="shared" si="286"/>
        <v>0</v>
      </c>
      <c r="AV243" s="76">
        <f t="shared" si="286"/>
        <v>0</v>
      </c>
      <c r="AW243" s="76">
        <f t="shared" si="286"/>
        <v>0</v>
      </c>
      <c r="AX243" s="76">
        <f t="shared" si="287"/>
        <v>0</v>
      </c>
      <c r="AY243" s="75">
        <f t="shared" si="287"/>
        <v>0</v>
      </c>
      <c r="AZ243" s="75">
        <f t="shared" si="287"/>
        <v>0</v>
      </c>
      <c r="BA243" s="75">
        <f t="shared" si="287"/>
        <v>0</v>
      </c>
      <c r="BB243" s="75">
        <f t="shared" si="287"/>
        <v>0</v>
      </c>
      <c r="BC243" s="75">
        <f t="shared" si="287"/>
        <v>0</v>
      </c>
      <c r="BD243" s="75">
        <f t="shared" si="287"/>
        <v>0</v>
      </c>
      <c r="BE243" s="75">
        <f t="shared" si="287"/>
        <v>0</v>
      </c>
      <c r="BF243" s="75">
        <f t="shared" si="287"/>
        <v>0</v>
      </c>
      <c r="BG243" s="75">
        <f t="shared" si="287"/>
        <v>0</v>
      </c>
      <c r="BH243" s="75">
        <f t="shared" si="287"/>
        <v>0</v>
      </c>
      <c r="BI243" s="75">
        <f t="shared" si="287"/>
        <v>0</v>
      </c>
      <c r="BJ243" s="75">
        <f t="shared" si="287"/>
        <v>0</v>
      </c>
      <c r="BK243" s="75">
        <f t="shared" si="288"/>
        <v>0</v>
      </c>
      <c r="BL243" s="75">
        <f t="shared" si="288"/>
        <v>0</v>
      </c>
      <c r="BM243" s="75">
        <f t="shared" si="288"/>
        <v>0</v>
      </c>
      <c r="BN243" s="75">
        <f t="shared" si="288"/>
        <v>0</v>
      </c>
      <c r="BO243" s="75">
        <f t="shared" si="288"/>
        <v>0</v>
      </c>
      <c r="BP243" s="75">
        <f t="shared" si="288"/>
        <v>0</v>
      </c>
      <c r="BQ243" s="75">
        <f t="shared" si="288"/>
        <v>0</v>
      </c>
      <c r="BR243" s="75"/>
      <c r="BS243" s="75">
        <f t="shared" si="288"/>
        <v>0</v>
      </c>
      <c r="BT243" s="75">
        <f t="shared" si="288"/>
        <v>0</v>
      </c>
      <c r="BU243" s="75">
        <f t="shared" si="288"/>
        <v>0</v>
      </c>
      <c r="BV243" s="75">
        <f t="shared" si="288"/>
        <v>0</v>
      </c>
      <c r="BW243" s="75">
        <f t="shared" si="288"/>
        <v>0</v>
      </c>
      <c r="BX243" s="75">
        <f t="shared" si="288"/>
        <v>0</v>
      </c>
      <c r="BY243" s="60" t="e">
        <f t="shared" si="249"/>
        <v>#DIV/0!</v>
      </c>
      <c r="BZ243" s="60" t="e">
        <f t="shared" si="283"/>
        <v>#DIV/0!</v>
      </c>
    </row>
    <row r="244" spans="1:78" s="10" customFormat="1" ht="72.75" customHeight="1" hidden="1">
      <c r="A244" s="88" t="s">
        <v>138</v>
      </c>
      <c r="B244" s="89" t="s">
        <v>151</v>
      </c>
      <c r="C244" s="89" t="s">
        <v>128</v>
      </c>
      <c r="D244" s="90" t="s">
        <v>259</v>
      </c>
      <c r="E244" s="89" t="s">
        <v>139</v>
      </c>
      <c r="F244" s="75"/>
      <c r="G244" s="75">
        <f>H244-F244</f>
        <v>0</v>
      </c>
      <c r="H244" s="75">
        <f>16019-16019</f>
        <v>0</v>
      </c>
      <c r="I244" s="99">
        <f aca="true" t="shared" si="289" ref="I244:BW244">6524-6524</f>
        <v>0</v>
      </c>
      <c r="J244" s="99">
        <f t="shared" si="289"/>
        <v>0</v>
      </c>
      <c r="K244" s="99">
        <f t="shared" si="289"/>
        <v>0</v>
      </c>
      <c r="L244" s="99">
        <f t="shared" si="289"/>
        <v>0</v>
      </c>
      <c r="M244" s="99">
        <f t="shared" si="289"/>
        <v>0</v>
      </c>
      <c r="N244" s="99">
        <f t="shared" si="289"/>
        <v>0</v>
      </c>
      <c r="O244" s="99">
        <f t="shared" si="289"/>
        <v>0</v>
      </c>
      <c r="P244" s="99">
        <f t="shared" si="289"/>
        <v>0</v>
      </c>
      <c r="Q244" s="99">
        <f t="shared" si="289"/>
        <v>0</v>
      </c>
      <c r="R244" s="99">
        <f t="shared" si="289"/>
        <v>0</v>
      </c>
      <c r="S244" s="99">
        <f t="shared" si="289"/>
        <v>0</v>
      </c>
      <c r="T244" s="99">
        <f t="shared" si="289"/>
        <v>0</v>
      </c>
      <c r="U244" s="99">
        <f t="shared" si="289"/>
        <v>0</v>
      </c>
      <c r="V244" s="99">
        <f t="shared" si="289"/>
        <v>0</v>
      </c>
      <c r="W244" s="99">
        <f t="shared" si="289"/>
        <v>0</v>
      </c>
      <c r="X244" s="99">
        <f t="shared" si="289"/>
        <v>0</v>
      </c>
      <c r="Y244" s="99">
        <f t="shared" si="289"/>
        <v>0</v>
      </c>
      <c r="Z244" s="99">
        <f t="shared" si="289"/>
        <v>0</v>
      </c>
      <c r="AA244" s="99">
        <f t="shared" si="289"/>
        <v>0</v>
      </c>
      <c r="AB244" s="99">
        <f t="shared" si="289"/>
        <v>0</v>
      </c>
      <c r="AC244" s="99">
        <f t="shared" si="289"/>
        <v>0</v>
      </c>
      <c r="AD244" s="99">
        <f t="shared" si="289"/>
        <v>0</v>
      </c>
      <c r="AE244" s="99">
        <f t="shared" si="289"/>
        <v>0</v>
      </c>
      <c r="AF244" s="99">
        <f t="shared" si="289"/>
        <v>0</v>
      </c>
      <c r="AG244" s="99">
        <f t="shared" si="289"/>
        <v>0</v>
      </c>
      <c r="AH244" s="99">
        <f t="shared" si="289"/>
        <v>0</v>
      </c>
      <c r="AI244" s="99">
        <f t="shared" si="289"/>
        <v>0</v>
      </c>
      <c r="AJ244" s="99">
        <f t="shared" si="289"/>
        <v>0</v>
      </c>
      <c r="AK244" s="99">
        <f t="shared" si="289"/>
        <v>0</v>
      </c>
      <c r="AL244" s="99">
        <f t="shared" si="289"/>
        <v>0</v>
      </c>
      <c r="AM244" s="99">
        <f t="shared" si="289"/>
        <v>0</v>
      </c>
      <c r="AN244" s="99">
        <f t="shared" si="289"/>
        <v>0</v>
      </c>
      <c r="AO244" s="99">
        <f t="shared" si="289"/>
        <v>0</v>
      </c>
      <c r="AP244" s="99">
        <f t="shared" si="289"/>
        <v>0</v>
      </c>
      <c r="AQ244" s="99">
        <f t="shared" si="289"/>
        <v>0</v>
      </c>
      <c r="AR244" s="99">
        <f t="shared" si="289"/>
        <v>0</v>
      </c>
      <c r="AS244" s="99">
        <f t="shared" si="289"/>
        <v>0</v>
      </c>
      <c r="AT244" s="117">
        <f t="shared" si="289"/>
        <v>0</v>
      </c>
      <c r="AU244" s="117">
        <f t="shared" si="289"/>
        <v>0</v>
      </c>
      <c r="AV244" s="117">
        <f t="shared" si="289"/>
        <v>0</v>
      </c>
      <c r="AW244" s="117">
        <f t="shared" si="289"/>
        <v>0</v>
      </c>
      <c r="AX244" s="117">
        <f t="shared" si="289"/>
        <v>0</v>
      </c>
      <c r="AY244" s="99">
        <f t="shared" si="289"/>
        <v>0</v>
      </c>
      <c r="AZ244" s="99">
        <f t="shared" si="289"/>
        <v>0</v>
      </c>
      <c r="BA244" s="99">
        <f t="shared" si="289"/>
        <v>0</v>
      </c>
      <c r="BB244" s="99">
        <f t="shared" si="289"/>
        <v>0</v>
      </c>
      <c r="BC244" s="99">
        <f t="shared" si="289"/>
        <v>0</v>
      </c>
      <c r="BD244" s="99">
        <f t="shared" si="289"/>
        <v>0</v>
      </c>
      <c r="BE244" s="99">
        <f t="shared" si="289"/>
        <v>0</v>
      </c>
      <c r="BF244" s="99">
        <f t="shared" si="289"/>
        <v>0</v>
      </c>
      <c r="BG244" s="99">
        <f t="shared" si="289"/>
        <v>0</v>
      </c>
      <c r="BH244" s="99">
        <f t="shared" si="289"/>
        <v>0</v>
      </c>
      <c r="BI244" s="99">
        <f t="shared" si="289"/>
        <v>0</v>
      </c>
      <c r="BJ244" s="99">
        <f t="shared" si="289"/>
        <v>0</v>
      </c>
      <c r="BK244" s="99">
        <f t="shared" si="289"/>
        <v>0</v>
      </c>
      <c r="BL244" s="99">
        <f t="shared" si="289"/>
        <v>0</v>
      </c>
      <c r="BM244" s="99">
        <f t="shared" si="289"/>
        <v>0</v>
      </c>
      <c r="BN244" s="99">
        <f t="shared" si="289"/>
        <v>0</v>
      </c>
      <c r="BO244" s="99">
        <f t="shared" si="289"/>
        <v>0</v>
      </c>
      <c r="BP244" s="99">
        <f t="shared" si="289"/>
        <v>0</v>
      </c>
      <c r="BQ244" s="99">
        <f t="shared" si="289"/>
        <v>0</v>
      </c>
      <c r="BR244" s="99"/>
      <c r="BS244" s="99">
        <f t="shared" si="289"/>
        <v>0</v>
      </c>
      <c r="BT244" s="99">
        <f t="shared" si="289"/>
        <v>0</v>
      </c>
      <c r="BU244" s="99">
        <f t="shared" si="289"/>
        <v>0</v>
      </c>
      <c r="BV244" s="99">
        <f>6524-6524</f>
        <v>0</v>
      </c>
      <c r="BW244" s="99">
        <f t="shared" si="289"/>
        <v>0</v>
      </c>
      <c r="BX244" s="99">
        <f>6524-6524</f>
        <v>0</v>
      </c>
      <c r="BY244" s="60" t="e">
        <f t="shared" si="249"/>
        <v>#DIV/0!</v>
      </c>
      <c r="BZ244" s="60" t="e">
        <f t="shared" si="283"/>
        <v>#DIV/0!</v>
      </c>
    </row>
    <row r="245" spans="1:78" s="10" customFormat="1" ht="8.25" customHeight="1" hidden="1">
      <c r="A245" s="55"/>
      <c r="B245" s="56"/>
      <c r="C245" s="56"/>
      <c r="D245" s="57"/>
      <c r="E245" s="56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1"/>
      <c r="AU245" s="121"/>
      <c r="AV245" s="121"/>
      <c r="AW245" s="121"/>
      <c r="AX245" s="121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60" t="e">
        <f t="shared" si="249"/>
        <v>#DIV/0!</v>
      </c>
      <c r="BZ245" s="60" t="e">
        <f t="shared" si="283"/>
        <v>#DIV/0!</v>
      </c>
    </row>
    <row r="246" spans="1:78" s="12" customFormat="1" ht="40.5" customHeight="1">
      <c r="A246" s="66" t="s">
        <v>164</v>
      </c>
      <c r="B246" s="67" t="s">
        <v>151</v>
      </c>
      <c r="C246" s="67" t="s">
        <v>160</v>
      </c>
      <c r="D246" s="85"/>
      <c r="E246" s="67"/>
      <c r="F246" s="69">
        <f aca="true" t="shared" si="290" ref="F246:N246">F247+F249</f>
        <v>14450</v>
      </c>
      <c r="G246" s="69">
        <f t="shared" si="290"/>
        <v>41507</v>
      </c>
      <c r="H246" s="69">
        <f t="shared" si="290"/>
        <v>55957</v>
      </c>
      <c r="I246" s="69">
        <f t="shared" si="290"/>
        <v>35500</v>
      </c>
      <c r="J246" s="69">
        <f t="shared" si="290"/>
        <v>0</v>
      </c>
      <c r="K246" s="69">
        <f t="shared" si="290"/>
        <v>0</v>
      </c>
      <c r="L246" s="69">
        <f t="shared" si="290"/>
        <v>0</v>
      </c>
      <c r="M246" s="69">
        <f t="shared" si="290"/>
        <v>55957</v>
      </c>
      <c r="N246" s="69">
        <f t="shared" si="290"/>
        <v>35500</v>
      </c>
      <c r="O246" s="69">
        <f aca="true" t="shared" si="291" ref="O246:T246">O247+O249</f>
        <v>0</v>
      </c>
      <c r="P246" s="69">
        <f t="shared" si="291"/>
        <v>0</v>
      </c>
      <c r="Q246" s="69">
        <f t="shared" si="291"/>
        <v>0</v>
      </c>
      <c r="R246" s="69">
        <f t="shared" si="291"/>
        <v>0</v>
      </c>
      <c r="S246" s="69">
        <f t="shared" si="291"/>
        <v>55957</v>
      </c>
      <c r="T246" s="69">
        <f t="shared" si="291"/>
        <v>35500</v>
      </c>
      <c r="U246" s="69">
        <f aca="true" t="shared" si="292" ref="U246:AB246">U247+U249</f>
        <v>0</v>
      </c>
      <c r="V246" s="69">
        <f t="shared" si="292"/>
        <v>0</v>
      </c>
      <c r="W246" s="69">
        <f t="shared" si="292"/>
        <v>0</v>
      </c>
      <c r="X246" s="69">
        <f t="shared" si="292"/>
        <v>0</v>
      </c>
      <c r="Y246" s="69">
        <f t="shared" si="292"/>
        <v>0</v>
      </c>
      <c r="Z246" s="69">
        <f t="shared" si="292"/>
        <v>0</v>
      </c>
      <c r="AA246" s="69">
        <f t="shared" si="292"/>
        <v>-35500</v>
      </c>
      <c r="AB246" s="69">
        <f t="shared" si="292"/>
        <v>20457</v>
      </c>
      <c r="AC246" s="69">
        <f aca="true" t="shared" si="293" ref="AC246:AI246">AC247+AC249</f>
        <v>0</v>
      </c>
      <c r="AD246" s="69">
        <f t="shared" si="293"/>
        <v>0</v>
      </c>
      <c r="AE246" s="69">
        <f t="shared" si="293"/>
        <v>0</v>
      </c>
      <c r="AF246" s="69">
        <f t="shared" si="293"/>
        <v>-6657</v>
      </c>
      <c r="AG246" s="69">
        <f t="shared" si="293"/>
        <v>0</v>
      </c>
      <c r="AH246" s="69">
        <f t="shared" si="293"/>
        <v>0</v>
      </c>
      <c r="AI246" s="69">
        <f t="shared" si="293"/>
        <v>13800</v>
      </c>
      <c r="AJ246" s="69">
        <f>AJ247+AJ249</f>
        <v>0</v>
      </c>
      <c r="AK246" s="69">
        <f>AK247+AK249</f>
        <v>0</v>
      </c>
      <c r="AL246" s="69">
        <f>AL247+AL249</f>
        <v>13800</v>
      </c>
      <c r="AM246" s="69">
        <f aca="true" t="shared" si="294" ref="AM246:AS246">AM247+AM249</f>
        <v>0</v>
      </c>
      <c r="AN246" s="69">
        <f t="shared" si="294"/>
        <v>0</v>
      </c>
      <c r="AO246" s="69">
        <f>AO247+AO249</f>
        <v>0</v>
      </c>
      <c r="AP246" s="69">
        <f t="shared" si="294"/>
        <v>0</v>
      </c>
      <c r="AQ246" s="69">
        <f t="shared" si="294"/>
        <v>0</v>
      </c>
      <c r="AR246" s="69">
        <f t="shared" si="294"/>
        <v>13800</v>
      </c>
      <c r="AS246" s="69">
        <f t="shared" si="294"/>
        <v>0</v>
      </c>
      <c r="AT246" s="70">
        <f>AT247+AT249</f>
        <v>0</v>
      </c>
      <c r="AU246" s="70">
        <f>AU247+AU249</f>
        <v>0</v>
      </c>
      <c r="AV246" s="70">
        <f>AV247+AV249</f>
        <v>0</v>
      </c>
      <c r="AW246" s="70">
        <f>AW247+AW249</f>
        <v>13800</v>
      </c>
      <c r="AX246" s="70">
        <f aca="true" t="shared" si="295" ref="AX246:BE246">AX247+AX249</f>
        <v>0</v>
      </c>
      <c r="AY246" s="69">
        <f t="shared" si="295"/>
        <v>-201</v>
      </c>
      <c r="AZ246" s="69">
        <f t="shared" si="295"/>
        <v>-4100</v>
      </c>
      <c r="BA246" s="69">
        <f>BA247+BA249</f>
        <v>0</v>
      </c>
      <c r="BB246" s="69">
        <f>BB247+BB249</f>
        <v>0</v>
      </c>
      <c r="BC246" s="69">
        <f t="shared" si="295"/>
        <v>4400</v>
      </c>
      <c r="BD246" s="69">
        <f t="shared" si="295"/>
        <v>13899</v>
      </c>
      <c r="BE246" s="69">
        <f t="shared" si="295"/>
        <v>4400</v>
      </c>
      <c r="BF246" s="69">
        <f>BF247+BF249</f>
        <v>0</v>
      </c>
      <c r="BG246" s="69">
        <f>BG247+BG249</f>
        <v>0</v>
      </c>
      <c r="BH246" s="69">
        <f>BH247+BH249</f>
        <v>0</v>
      </c>
      <c r="BI246" s="69">
        <f>BI247+BI249</f>
        <v>13899</v>
      </c>
      <c r="BJ246" s="69">
        <f>BJ247+BJ249</f>
        <v>4400</v>
      </c>
      <c r="BK246" s="69">
        <f aca="true" t="shared" si="296" ref="BK246:BP246">BK247+BK249</f>
        <v>0</v>
      </c>
      <c r="BL246" s="69">
        <f t="shared" si="296"/>
        <v>0</v>
      </c>
      <c r="BM246" s="69">
        <f t="shared" si="296"/>
        <v>0</v>
      </c>
      <c r="BN246" s="69">
        <f t="shared" si="296"/>
        <v>0</v>
      </c>
      <c r="BO246" s="69">
        <f t="shared" si="296"/>
        <v>13899</v>
      </c>
      <c r="BP246" s="69">
        <f t="shared" si="296"/>
        <v>4400</v>
      </c>
      <c r="BQ246" s="69">
        <f>BQ247+BQ249</f>
        <v>-1</v>
      </c>
      <c r="BR246" s="69"/>
      <c r="BS246" s="69">
        <f aca="true" t="shared" si="297" ref="BS246:BX246">BS247+BS249</f>
        <v>0</v>
      </c>
      <c r="BT246" s="69">
        <f t="shared" si="297"/>
        <v>0</v>
      </c>
      <c r="BU246" s="69">
        <f t="shared" si="297"/>
        <v>13898</v>
      </c>
      <c r="BV246" s="69">
        <f t="shared" si="297"/>
        <v>4400</v>
      </c>
      <c r="BW246" s="69">
        <f t="shared" si="297"/>
        <v>12682</v>
      </c>
      <c r="BX246" s="69">
        <f t="shared" si="297"/>
        <v>3792</v>
      </c>
      <c r="BY246" s="71">
        <f t="shared" si="249"/>
        <v>91.25053964599222</v>
      </c>
      <c r="BZ246" s="71">
        <f t="shared" si="283"/>
        <v>86.18181818181819</v>
      </c>
    </row>
    <row r="247" spans="1:78" s="13" customFormat="1" ht="39" customHeight="1" hidden="1">
      <c r="A247" s="88" t="s">
        <v>165</v>
      </c>
      <c r="B247" s="89" t="s">
        <v>151</v>
      </c>
      <c r="C247" s="89" t="s">
        <v>160</v>
      </c>
      <c r="D247" s="90" t="s">
        <v>120</v>
      </c>
      <c r="E247" s="89"/>
      <c r="F247" s="75">
        <f aca="true" t="shared" si="298" ref="F247:BQ247">F248</f>
        <v>11151</v>
      </c>
      <c r="G247" s="75">
        <f t="shared" si="298"/>
        <v>6007</v>
      </c>
      <c r="H247" s="75">
        <f t="shared" si="298"/>
        <v>17158</v>
      </c>
      <c r="I247" s="75">
        <f t="shared" si="298"/>
        <v>0</v>
      </c>
      <c r="J247" s="75">
        <f t="shared" si="298"/>
        <v>0</v>
      </c>
      <c r="K247" s="75">
        <f t="shared" si="298"/>
        <v>0</v>
      </c>
      <c r="L247" s="75">
        <f t="shared" si="298"/>
        <v>0</v>
      </c>
      <c r="M247" s="75">
        <f t="shared" si="298"/>
        <v>17158</v>
      </c>
      <c r="N247" s="75">
        <f t="shared" si="298"/>
        <v>0</v>
      </c>
      <c r="O247" s="75">
        <f t="shared" si="298"/>
        <v>0</v>
      </c>
      <c r="P247" s="75"/>
      <c r="Q247" s="75">
        <f t="shared" si="298"/>
        <v>0</v>
      </c>
      <c r="R247" s="75">
        <f t="shared" si="298"/>
        <v>0</v>
      </c>
      <c r="S247" s="75">
        <f t="shared" si="298"/>
        <v>17158</v>
      </c>
      <c r="T247" s="75">
        <f t="shared" si="298"/>
        <v>0</v>
      </c>
      <c r="U247" s="75">
        <f t="shared" si="298"/>
        <v>0</v>
      </c>
      <c r="V247" s="75">
        <f t="shared" si="298"/>
        <v>0</v>
      </c>
      <c r="W247" s="75">
        <f t="shared" si="298"/>
        <v>0</v>
      </c>
      <c r="X247" s="75">
        <f t="shared" si="298"/>
        <v>0</v>
      </c>
      <c r="Y247" s="75">
        <f t="shared" si="298"/>
        <v>0</v>
      </c>
      <c r="Z247" s="75">
        <f t="shared" si="298"/>
        <v>0</v>
      </c>
      <c r="AA247" s="75">
        <f t="shared" si="298"/>
        <v>0</v>
      </c>
      <c r="AB247" s="75">
        <f t="shared" si="298"/>
        <v>17158</v>
      </c>
      <c r="AC247" s="75">
        <f t="shared" si="298"/>
        <v>0</v>
      </c>
      <c r="AD247" s="75">
        <f t="shared" si="298"/>
        <v>0</v>
      </c>
      <c r="AE247" s="75">
        <f t="shared" si="298"/>
        <v>0</v>
      </c>
      <c r="AF247" s="75">
        <f t="shared" si="298"/>
        <v>-3358</v>
      </c>
      <c r="AG247" s="75">
        <f t="shared" si="298"/>
        <v>0</v>
      </c>
      <c r="AH247" s="75">
        <f t="shared" si="298"/>
        <v>0</v>
      </c>
      <c r="AI247" s="75">
        <f t="shared" si="298"/>
        <v>13800</v>
      </c>
      <c r="AJ247" s="75">
        <f t="shared" si="298"/>
        <v>0</v>
      </c>
      <c r="AK247" s="75">
        <f t="shared" si="298"/>
        <v>0</v>
      </c>
      <c r="AL247" s="75">
        <f t="shared" si="298"/>
        <v>13800</v>
      </c>
      <c r="AM247" s="75">
        <f t="shared" si="298"/>
        <v>0</v>
      </c>
      <c r="AN247" s="75">
        <f t="shared" si="298"/>
        <v>0</v>
      </c>
      <c r="AO247" s="75">
        <f t="shared" si="298"/>
        <v>0</v>
      </c>
      <c r="AP247" s="75">
        <f t="shared" si="298"/>
        <v>0</v>
      </c>
      <c r="AQ247" s="75">
        <f t="shared" si="298"/>
        <v>0</v>
      </c>
      <c r="AR247" s="75">
        <f t="shared" si="298"/>
        <v>13800</v>
      </c>
      <c r="AS247" s="75">
        <f t="shared" si="298"/>
        <v>0</v>
      </c>
      <c r="AT247" s="76">
        <f t="shared" si="298"/>
        <v>0</v>
      </c>
      <c r="AU247" s="76">
        <f t="shared" si="298"/>
        <v>0</v>
      </c>
      <c r="AV247" s="76">
        <f t="shared" si="298"/>
        <v>0</v>
      </c>
      <c r="AW247" s="76">
        <f t="shared" si="298"/>
        <v>13800</v>
      </c>
      <c r="AX247" s="76">
        <f t="shared" si="298"/>
        <v>0</v>
      </c>
      <c r="AY247" s="75">
        <f t="shared" si="298"/>
        <v>-201</v>
      </c>
      <c r="AZ247" s="75">
        <f t="shared" si="298"/>
        <v>-4100</v>
      </c>
      <c r="BA247" s="75">
        <f t="shared" si="298"/>
        <v>0</v>
      </c>
      <c r="BB247" s="75">
        <f t="shared" si="298"/>
        <v>0</v>
      </c>
      <c r="BC247" s="75">
        <f t="shared" si="298"/>
        <v>4400</v>
      </c>
      <c r="BD247" s="75">
        <f t="shared" si="298"/>
        <v>13899</v>
      </c>
      <c r="BE247" s="75">
        <f t="shared" si="298"/>
        <v>4400</v>
      </c>
      <c r="BF247" s="75">
        <f t="shared" si="298"/>
        <v>0</v>
      </c>
      <c r="BG247" s="75">
        <f t="shared" si="298"/>
        <v>0</v>
      </c>
      <c r="BH247" s="75">
        <f t="shared" si="298"/>
        <v>0</v>
      </c>
      <c r="BI247" s="75">
        <f t="shared" si="298"/>
        <v>13899</v>
      </c>
      <c r="BJ247" s="75">
        <f t="shared" si="298"/>
        <v>4400</v>
      </c>
      <c r="BK247" s="75">
        <f t="shared" si="298"/>
        <v>0</v>
      </c>
      <c r="BL247" s="75">
        <f t="shared" si="298"/>
        <v>0</v>
      </c>
      <c r="BM247" s="75">
        <f t="shared" si="298"/>
        <v>0</v>
      </c>
      <c r="BN247" s="75">
        <f t="shared" si="298"/>
        <v>0</v>
      </c>
      <c r="BO247" s="75">
        <f t="shared" si="298"/>
        <v>13899</v>
      </c>
      <c r="BP247" s="75">
        <f t="shared" si="298"/>
        <v>4400</v>
      </c>
      <c r="BQ247" s="75">
        <f t="shared" si="298"/>
        <v>-1</v>
      </c>
      <c r="BR247" s="75"/>
      <c r="BS247" s="75">
        <f aca="true" t="shared" si="299" ref="BS247:BX247">BS248</f>
        <v>0</v>
      </c>
      <c r="BT247" s="75">
        <f t="shared" si="299"/>
        <v>0</v>
      </c>
      <c r="BU247" s="75">
        <f t="shared" si="299"/>
        <v>13898</v>
      </c>
      <c r="BV247" s="75">
        <f t="shared" si="299"/>
        <v>4400</v>
      </c>
      <c r="BW247" s="75">
        <f t="shared" si="299"/>
        <v>12682</v>
      </c>
      <c r="BX247" s="75">
        <f t="shared" si="299"/>
        <v>3792</v>
      </c>
      <c r="BY247" s="77">
        <f t="shared" si="249"/>
        <v>91.25053964599222</v>
      </c>
      <c r="BZ247" s="77">
        <f t="shared" si="249"/>
        <v>86.18181818181819</v>
      </c>
    </row>
    <row r="248" spans="1:78" s="14" customFormat="1" ht="72" customHeight="1" hidden="1">
      <c r="A248" s="88" t="s">
        <v>138</v>
      </c>
      <c r="B248" s="89" t="s">
        <v>151</v>
      </c>
      <c r="C248" s="89" t="s">
        <v>160</v>
      </c>
      <c r="D248" s="90" t="s">
        <v>120</v>
      </c>
      <c r="E248" s="89" t="s">
        <v>139</v>
      </c>
      <c r="F248" s="75">
        <v>11151</v>
      </c>
      <c r="G248" s="75">
        <f>H248-F248</f>
        <v>6007</v>
      </c>
      <c r="H248" s="75">
        <v>17158</v>
      </c>
      <c r="I248" s="79"/>
      <c r="J248" s="79"/>
      <c r="K248" s="79"/>
      <c r="L248" s="79"/>
      <c r="M248" s="75">
        <f>H248+J248+K248+L248</f>
        <v>17158</v>
      </c>
      <c r="N248" s="78">
        <f>I248+L248</f>
        <v>0</v>
      </c>
      <c r="O248" s="79"/>
      <c r="P248" s="79"/>
      <c r="Q248" s="79"/>
      <c r="R248" s="79"/>
      <c r="S248" s="75">
        <f>M248+O248+P248+Q248+R248</f>
        <v>17158</v>
      </c>
      <c r="T248" s="75">
        <f>N248+R248</f>
        <v>0</v>
      </c>
      <c r="U248" s="79"/>
      <c r="V248" s="79"/>
      <c r="W248" s="79"/>
      <c r="X248" s="79"/>
      <c r="Y248" s="79"/>
      <c r="Z248" s="79"/>
      <c r="AA248" s="79"/>
      <c r="AB248" s="75">
        <f>S248+U248+V248+W248+X248+Y248+Z248+AA248</f>
        <v>17158</v>
      </c>
      <c r="AC248" s="75">
        <f>T248+Z248+AA248</f>
        <v>0</v>
      </c>
      <c r="AD248" s="79"/>
      <c r="AE248" s="79"/>
      <c r="AF248" s="75">
        <v>-3358</v>
      </c>
      <c r="AG248" s="79"/>
      <c r="AH248" s="79"/>
      <c r="AI248" s="75">
        <f>AB248+AD248+AE248+AF248+AG248+AH248</f>
        <v>13800</v>
      </c>
      <c r="AJ248" s="75">
        <f>AC248+AH248</f>
        <v>0</v>
      </c>
      <c r="AK248" s="79"/>
      <c r="AL248" s="75">
        <f>AI248+AK248</f>
        <v>13800</v>
      </c>
      <c r="AM248" s="75">
        <f>AJ248</f>
        <v>0</v>
      </c>
      <c r="AN248" s="79"/>
      <c r="AO248" s="79"/>
      <c r="AP248" s="79"/>
      <c r="AQ248" s="79"/>
      <c r="AR248" s="75">
        <f>AL248+AN248+AO248+AP248+AQ248</f>
        <v>13800</v>
      </c>
      <c r="AS248" s="75">
        <f>AM248+AQ248</f>
        <v>0</v>
      </c>
      <c r="AT248" s="81"/>
      <c r="AU248" s="81"/>
      <c r="AV248" s="81"/>
      <c r="AW248" s="76">
        <f>AV248+AU248+AT248+AR248</f>
        <v>13800</v>
      </c>
      <c r="AX248" s="76">
        <f>AV248+AS248</f>
        <v>0</v>
      </c>
      <c r="AY248" s="75">
        <v>-201</v>
      </c>
      <c r="AZ248" s="75">
        <v>-4100</v>
      </c>
      <c r="BA248" s="75"/>
      <c r="BB248" s="75"/>
      <c r="BC248" s="75">
        <v>4400</v>
      </c>
      <c r="BD248" s="75">
        <f>AW248+AY248+AZ248+BA248+BB248+BC248</f>
        <v>13899</v>
      </c>
      <c r="BE248" s="75">
        <f>AX248+BC248</f>
        <v>4400</v>
      </c>
      <c r="BF248" s="79"/>
      <c r="BG248" s="79"/>
      <c r="BH248" s="79"/>
      <c r="BI248" s="75">
        <f>BD248+BF248+BG248+BH248</f>
        <v>13899</v>
      </c>
      <c r="BJ248" s="75">
        <f>BE248+BH248</f>
        <v>4400</v>
      </c>
      <c r="BK248" s="78"/>
      <c r="BL248" s="78"/>
      <c r="BM248" s="78"/>
      <c r="BN248" s="78"/>
      <c r="BO248" s="75">
        <f>BI248+BK248+BL248+BM248+BN248</f>
        <v>13899</v>
      </c>
      <c r="BP248" s="75">
        <f>BJ248+BN248</f>
        <v>4400</v>
      </c>
      <c r="BQ248" s="78">
        <v>-1</v>
      </c>
      <c r="BR248" s="78"/>
      <c r="BS248" s="79"/>
      <c r="BT248" s="79"/>
      <c r="BU248" s="75">
        <f>BO248+BQ248+BS248+BT248</f>
        <v>13898</v>
      </c>
      <c r="BV248" s="75">
        <f>BP248+BT248</f>
        <v>4400</v>
      </c>
      <c r="BW248" s="75">
        <v>12682</v>
      </c>
      <c r="BX248" s="75">
        <v>3792</v>
      </c>
      <c r="BY248" s="77">
        <f t="shared" si="249"/>
        <v>91.25053964599222</v>
      </c>
      <c r="BZ248" s="77">
        <f t="shared" si="249"/>
        <v>86.18181818181819</v>
      </c>
    </row>
    <row r="249" spans="1:78" s="14" customFormat="1" ht="28.5" customHeight="1" hidden="1">
      <c r="A249" s="88" t="s">
        <v>214</v>
      </c>
      <c r="B249" s="89" t="s">
        <v>151</v>
      </c>
      <c r="C249" s="89" t="s">
        <v>160</v>
      </c>
      <c r="D249" s="90" t="s">
        <v>213</v>
      </c>
      <c r="E249" s="89"/>
      <c r="F249" s="75">
        <f aca="true" t="shared" si="300" ref="F249:AJ249">F250</f>
        <v>3299</v>
      </c>
      <c r="G249" s="75">
        <f t="shared" si="300"/>
        <v>35500</v>
      </c>
      <c r="H249" s="75">
        <f t="shared" si="300"/>
        <v>38799</v>
      </c>
      <c r="I249" s="75">
        <f t="shared" si="300"/>
        <v>35500</v>
      </c>
      <c r="J249" s="75">
        <f t="shared" si="300"/>
        <v>0</v>
      </c>
      <c r="K249" s="75">
        <f t="shared" si="300"/>
        <v>0</v>
      </c>
      <c r="L249" s="75">
        <f t="shared" si="300"/>
        <v>0</v>
      </c>
      <c r="M249" s="75">
        <f t="shared" si="300"/>
        <v>38799</v>
      </c>
      <c r="N249" s="75">
        <f t="shared" si="300"/>
        <v>35500</v>
      </c>
      <c r="O249" s="75">
        <f t="shared" si="300"/>
        <v>0</v>
      </c>
      <c r="P249" s="75"/>
      <c r="Q249" s="75">
        <f t="shared" si="300"/>
        <v>0</v>
      </c>
      <c r="R249" s="75">
        <f t="shared" si="300"/>
        <v>0</v>
      </c>
      <c r="S249" s="75">
        <f t="shared" si="300"/>
        <v>38799</v>
      </c>
      <c r="T249" s="75">
        <f t="shared" si="300"/>
        <v>35500</v>
      </c>
      <c r="U249" s="75">
        <f t="shared" si="300"/>
        <v>0</v>
      </c>
      <c r="V249" s="75">
        <f t="shared" si="300"/>
        <v>0</v>
      </c>
      <c r="W249" s="75">
        <f t="shared" si="300"/>
        <v>0</v>
      </c>
      <c r="X249" s="75">
        <f t="shared" si="300"/>
        <v>0</v>
      </c>
      <c r="Y249" s="75">
        <f t="shared" si="300"/>
        <v>0</v>
      </c>
      <c r="Z249" s="75">
        <f t="shared" si="300"/>
        <v>0</v>
      </c>
      <c r="AA249" s="75">
        <f t="shared" si="300"/>
        <v>-35500</v>
      </c>
      <c r="AB249" s="75">
        <f t="shared" si="300"/>
        <v>3299</v>
      </c>
      <c r="AC249" s="75">
        <f t="shared" si="300"/>
        <v>0</v>
      </c>
      <c r="AD249" s="75">
        <f t="shared" si="300"/>
        <v>0</v>
      </c>
      <c r="AE249" s="75">
        <f t="shared" si="300"/>
        <v>0</v>
      </c>
      <c r="AF249" s="75">
        <f t="shared" si="300"/>
        <v>-3299</v>
      </c>
      <c r="AG249" s="75">
        <f t="shared" si="300"/>
        <v>0</v>
      </c>
      <c r="AH249" s="75">
        <f t="shared" si="300"/>
        <v>0</v>
      </c>
      <c r="AI249" s="75">
        <f t="shared" si="300"/>
        <v>0</v>
      </c>
      <c r="AJ249" s="75">
        <f t="shared" si="300"/>
        <v>0</v>
      </c>
      <c r="AK249" s="79"/>
      <c r="AL249" s="79"/>
      <c r="AM249" s="79"/>
      <c r="AN249" s="79"/>
      <c r="AO249" s="79"/>
      <c r="AP249" s="79"/>
      <c r="AQ249" s="79"/>
      <c r="AR249" s="79"/>
      <c r="AS249" s="79"/>
      <c r="AT249" s="81"/>
      <c r="AU249" s="81"/>
      <c r="AV249" s="81"/>
      <c r="AW249" s="81"/>
      <c r="AX249" s="81"/>
      <c r="AY249" s="75"/>
      <c r="AZ249" s="75"/>
      <c r="BA249" s="75"/>
      <c r="BB249" s="75"/>
      <c r="BC249" s="75"/>
      <c r="BD249" s="78"/>
      <c r="BE249" s="78"/>
      <c r="BF249" s="79"/>
      <c r="BG249" s="79"/>
      <c r="BH249" s="79"/>
      <c r="BI249" s="79"/>
      <c r="BJ249" s="79"/>
      <c r="BK249" s="78"/>
      <c r="BL249" s="78"/>
      <c r="BM249" s="78"/>
      <c r="BN249" s="78"/>
      <c r="BO249" s="78"/>
      <c r="BP249" s="78"/>
      <c r="BQ249" s="79"/>
      <c r="BR249" s="79"/>
      <c r="BS249" s="79"/>
      <c r="BT249" s="79"/>
      <c r="BU249" s="79"/>
      <c r="BV249" s="79"/>
      <c r="BW249" s="79"/>
      <c r="BX249" s="79"/>
      <c r="BY249" s="60" t="e">
        <f t="shared" si="249"/>
        <v>#DIV/0!</v>
      </c>
      <c r="BZ249" s="60" t="e">
        <f>BX249/BV249*100</f>
        <v>#DIV/0!</v>
      </c>
    </row>
    <row r="250" spans="1:78" s="14" customFormat="1" ht="73.5" customHeight="1" hidden="1">
      <c r="A250" s="88" t="s">
        <v>166</v>
      </c>
      <c r="B250" s="89" t="s">
        <v>151</v>
      </c>
      <c r="C250" s="89" t="s">
        <v>160</v>
      </c>
      <c r="D250" s="90" t="s">
        <v>213</v>
      </c>
      <c r="E250" s="89" t="s">
        <v>167</v>
      </c>
      <c r="F250" s="75">
        <v>3299</v>
      </c>
      <c r="G250" s="75">
        <f>H250-F250</f>
        <v>35500</v>
      </c>
      <c r="H250" s="75">
        <f>3299+35500</f>
        <v>38799</v>
      </c>
      <c r="I250" s="75">
        <v>35500</v>
      </c>
      <c r="J250" s="79"/>
      <c r="K250" s="79"/>
      <c r="L250" s="79"/>
      <c r="M250" s="75">
        <f>H250+J250+K250+L250</f>
        <v>38799</v>
      </c>
      <c r="N250" s="75">
        <f>I250+L250</f>
        <v>35500</v>
      </c>
      <c r="O250" s="79"/>
      <c r="P250" s="79"/>
      <c r="Q250" s="79"/>
      <c r="R250" s="79"/>
      <c r="S250" s="75">
        <f>M250+O250+P250+Q250+R250</f>
        <v>38799</v>
      </c>
      <c r="T250" s="75">
        <f>N250+R250</f>
        <v>35500</v>
      </c>
      <c r="U250" s="79"/>
      <c r="V250" s="79"/>
      <c r="W250" s="79"/>
      <c r="X250" s="79"/>
      <c r="Y250" s="79"/>
      <c r="Z250" s="79"/>
      <c r="AA250" s="75">
        <v>-35500</v>
      </c>
      <c r="AB250" s="75">
        <f>S250+U250+V250+W250+X250+Y250+Z250+AA250</f>
        <v>3299</v>
      </c>
      <c r="AC250" s="75">
        <f>T250+Z250+AA250</f>
        <v>0</v>
      </c>
      <c r="AD250" s="79"/>
      <c r="AE250" s="79"/>
      <c r="AF250" s="75">
        <v>-3299</v>
      </c>
      <c r="AG250" s="79"/>
      <c r="AH250" s="79"/>
      <c r="AI250" s="75">
        <f>AB250+AD250+AE250+AF250+AG250+AH250</f>
        <v>0</v>
      </c>
      <c r="AJ250" s="75">
        <f>AC250+AH250</f>
        <v>0</v>
      </c>
      <c r="AK250" s="79"/>
      <c r="AL250" s="79"/>
      <c r="AM250" s="79"/>
      <c r="AN250" s="79"/>
      <c r="AO250" s="79"/>
      <c r="AP250" s="79"/>
      <c r="AQ250" s="79"/>
      <c r="AR250" s="79"/>
      <c r="AS250" s="79"/>
      <c r="AT250" s="81"/>
      <c r="AU250" s="81"/>
      <c r="AV250" s="81"/>
      <c r="AW250" s="81"/>
      <c r="AX250" s="81"/>
      <c r="AY250" s="75"/>
      <c r="AZ250" s="75"/>
      <c r="BA250" s="75"/>
      <c r="BB250" s="75"/>
      <c r="BC250" s="75"/>
      <c r="BD250" s="78"/>
      <c r="BE250" s="78"/>
      <c r="BF250" s="79"/>
      <c r="BG250" s="79"/>
      <c r="BH250" s="79"/>
      <c r="BI250" s="79"/>
      <c r="BJ250" s="79"/>
      <c r="BK250" s="78"/>
      <c r="BL250" s="78"/>
      <c r="BM250" s="78"/>
      <c r="BN250" s="78"/>
      <c r="BO250" s="78"/>
      <c r="BP250" s="78"/>
      <c r="BQ250" s="79"/>
      <c r="BR250" s="79"/>
      <c r="BS250" s="79"/>
      <c r="BT250" s="79"/>
      <c r="BU250" s="79"/>
      <c r="BV250" s="79"/>
      <c r="BW250" s="79"/>
      <c r="BX250" s="79"/>
      <c r="BY250" s="60" t="e">
        <f t="shared" si="249"/>
        <v>#DIV/0!</v>
      </c>
      <c r="BZ250" s="60" t="e">
        <f>BX250/BV250*100</f>
        <v>#DIV/0!</v>
      </c>
    </row>
    <row r="251" spans="1:78" ht="15" customHeight="1">
      <c r="A251" s="110"/>
      <c r="B251" s="83"/>
      <c r="C251" s="83"/>
      <c r="D251" s="84"/>
      <c r="E251" s="83"/>
      <c r="F251" s="50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2"/>
      <c r="T251" s="52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2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3"/>
      <c r="AU251" s="53"/>
      <c r="AV251" s="53"/>
      <c r="AW251" s="53"/>
      <c r="AX251" s="53"/>
      <c r="AY251" s="52"/>
      <c r="AZ251" s="52"/>
      <c r="BA251" s="52"/>
      <c r="BB251" s="52"/>
      <c r="BC251" s="52"/>
      <c r="BD251" s="54"/>
      <c r="BE251" s="54"/>
      <c r="BF251" s="51"/>
      <c r="BG251" s="51"/>
      <c r="BH251" s="51"/>
      <c r="BI251" s="51"/>
      <c r="BJ251" s="51"/>
      <c r="BK251" s="54"/>
      <c r="BL251" s="54"/>
      <c r="BM251" s="54"/>
      <c r="BN251" s="54"/>
      <c r="BO251" s="54"/>
      <c r="BP251" s="54"/>
      <c r="BQ251" s="51"/>
      <c r="BR251" s="51"/>
      <c r="BS251" s="51"/>
      <c r="BT251" s="51"/>
      <c r="BU251" s="51"/>
      <c r="BV251" s="51"/>
      <c r="BW251" s="51"/>
      <c r="BX251" s="51"/>
      <c r="BY251" s="60"/>
      <c r="BZ251" s="60"/>
    </row>
    <row r="252" spans="1:78" s="10" customFormat="1" ht="20.25">
      <c r="A252" s="55" t="s">
        <v>58</v>
      </c>
      <c r="B252" s="56" t="s">
        <v>59</v>
      </c>
      <c r="C252" s="56"/>
      <c r="D252" s="57"/>
      <c r="E252" s="56"/>
      <c r="F252" s="152">
        <f aca="true" t="shared" si="301" ref="F252:N252">F254+F260+F270+F274+F278+F291</f>
        <v>2210337</v>
      </c>
      <c r="G252" s="152">
        <f t="shared" si="301"/>
        <v>269869</v>
      </c>
      <c r="H252" s="152">
        <f t="shared" si="301"/>
        <v>2480206</v>
      </c>
      <c r="I252" s="152">
        <f t="shared" si="301"/>
        <v>14275</v>
      </c>
      <c r="J252" s="152">
        <f t="shared" si="301"/>
        <v>0</v>
      </c>
      <c r="K252" s="152">
        <f t="shared" si="301"/>
        <v>0</v>
      </c>
      <c r="L252" s="152">
        <f t="shared" si="301"/>
        <v>0</v>
      </c>
      <c r="M252" s="152">
        <f t="shared" si="301"/>
        <v>2480206</v>
      </c>
      <c r="N252" s="152">
        <f t="shared" si="301"/>
        <v>14275</v>
      </c>
      <c r="O252" s="152">
        <f aca="true" t="shared" si="302" ref="O252:T252">O254+O260+O270+O274+O278+O291</f>
        <v>283</v>
      </c>
      <c r="P252" s="152">
        <f t="shared" si="302"/>
        <v>0</v>
      </c>
      <c r="Q252" s="152">
        <f t="shared" si="302"/>
        <v>0</v>
      </c>
      <c r="R252" s="152">
        <f t="shared" si="302"/>
        <v>0</v>
      </c>
      <c r="S252" s="152">
        <f t="shared" si="302"/>
        <v>2480489</v>
      </c>
      <c r="T252" s="152">
        <f t="shared" si="302"/>
        <v>14275</v>
      </c>
      <c r="U252" s="152">
        <f aca="true" t="shared" si="303" ref="U252:AC252">U254+U260+U270+U274+U278+U291</f>
        <v>0</v>
      </c>
      <c r="V252" s="152">
        <f t="shared" si="303"/>
        <v>0</v>
      </c>
      <c r="W252" s="152">
        <f t="shared" si="303"/>
        <v>0</v>
      </c>
      <c r="X252" s="152">
        <f t="shared" si="303"/>
        <v>0</v>
      </c>
      <c r="Y252" s="152">
        <f t="shared" si="303"/>
        <v>0</v>
      </c>
      <c r="Z252" s="152">
        <f t="shared" si="303"/>
        <v>0</v>
      </c>
      <c r="AA252" s="152">
        <f t="shared" si="303"/>
        <v>170790</v>
      </c>
      <c r="AB252" s="152">
        <f t="shared" si="303"/>
        <v>2651279</v>
      </c>
      <c r="AC252" s="152">
        <f t="shared" si="303"/>
        <v>185065</v>
      </c>
      <c r="AD252" s="152">
        <f aca="true" t="shared" si="304" ref="AD252:AJ252">AD254+AD260+AD270+AD274+AD278+AD291</f>
        <v>81</v>
      </c>
      <c r="AE252" s="152">
        <f t="shared" si="304"/>
        <v>35496</v>
      </c>
      <c r="AF252" s="152">
        <f t="shared" si="304"/>
        <v>-228335</v>
      </c>
      <c r="AG252" s="152">
        <f t="shared" si="304"/>
        <v>0</v>
      </c>
      <c r="AH252" s="152">
        <f t="shared" si="304"/>
        <v>0</v>
      </c>
      <c r="AI252" s="152">
        <f t="shared" si="304"/>
        <v>2458521</v>
      </c>
      <c r="AJ252" s="152">
        <f t="shared" si="304"/>
        <v>185065</v>
      </c>
      <c r="AK252" s="152">
        <f aca="true" t="shared" si="305" ref="AK252:AS252">AK254+AK260+AK270+AK274+AK278+AK291</f>
        <v>0</v>
      </c>
      <c r="AL252" s="152">
        <f t="shared" si="305"/>
        <v>2458521</v>
      </c>
      <c r="AM252" s="152">
        <f t="shared" si="305"/>
        <v>185065</v>
      </c>
      <c r="AN252" s="152">
        <f t="shared" si="305"/>
        <v>1000</v>
      </c>
      <c r="AO252" s="152">
        <f>AO254+AO260+AO270+AO274+AO278+AO291</f>
        <v>24357</v>
      </c>
      <c r="AP252" s="152">
        <f t="shared" si="305"/>
        <v>53</v>
      </c>
      <c r="AQ252" s="152">
        <f t="shared" si="305"/>
        <v>87385</v>
      </c>
      <c r="AR252" s="152">
        <f t="shared" si="305"/>
        <v>2571316</v>
      </c>
      <c r="AS252" s="152">
        <f t="shared" si="305"/>
        <v>272450</v>
      </c>
      <c r="AT252" s="153">
        <f aca="true" t="shared" si="306" ref="AT252:BE252">AT254+AT260+AT270+AT274+AT278+AT291</f>
        <v>-327</v>
      </c>
      <c r="AU252" s="153">
        <f t="shared" si="306"/>
        <v>-79</v>
      </c>
      <c r="AV252" s="153">
        <f t="shared" si="306"/>
        <v>0</v>
      </c>
      <c r="AW252" s="153">
        <f t="shared" si="306"/>
        <v>2570910</v>
      </c>
      <c r="AX252" s="153">
        <f t="shared" si="306"/>
        <v>272450</v>
      </c>
      <c r="AY252" s="152">
        <f t="shared" si="306"/>
        <v>-56307</v>
      </c>
      <c r="AZ252" s="152">
        <f t="shared" si="306"/>
        <v>-3367</v>
      </c>
      <c r="BA252" s="152">
        <f>BA254+BA260+BA270+BA274+BA278+BA291</f>
        <v>0</v>
      </c>
      <c r="BB252" s="152">
        <f>BB254+BB260+BB270+BB274+BB278+BB291</f>
        <v>46700</v>
      </c>
      <c r="BC252" s="152">
        <f t="shared" si="306"/>
        <v>48500</v>
      </c>
      <c r="BD252" s="152">
        <f t="shared" si="306"/>
        <v>2606436</v>
      </c>
      <c r="BE252" s="152">
        <f t="shared" si="306"/>
        <v>320950</v>
      </c>
      <c r="BF252" s="152">
        <f>BF254+BF260+BF270+BF274+BF278+BF291</f>
        <v>0</v>
      </c>
      <c r="BG252" s="152">
        <f>BG254+BG260+BG270+BG274+BG278+BG291</f>
        <v>0</v>
      </c>
      <c r="BH252" s="152">
        <f>BH254+BH260+BH270+BH274+BH278+BH291</f>
        <v>0</v>
      </c>
      <c r="BI252" s="152">
        <f>BI254+BI260+BI270+BI274+BI278+BI291</f>
        <v>2606436</v>
      </c>
      <c r="BJ252" s="152">
        <f>BJ254+BJ260+BJ270+BJ274+BJ278+BJ291</f>
        <v>320950</v>
      </c>
      <c r="BK252" s="152">
        <f aca="true" t="shared" si="307" ref="BK252:BP252">BK254+BK260+BK270+BK274+BK278+BK291</f>
        <v>6403</v>
      </c>
      <c r="BL252" s="152">
        <f t="shared" si="307"/>
        <v>11</v>
      </c>
      <c r="BM252" s="152">
        <f t="shared" si="307"/>
        <v>5342</v>
      </c>
      <c r="BN252" s="152">
        <f t="shared" si="307"/>
        <v>0</v>
      </c>
      <c r="BO252" s="152">
        <f t="shared" si="307"/>
        <v>2618192</v>
      </c>
      <c r="BP252" s="152">
        <f t="shared" si="307"/>
        <v>320950</v>
      </c>
      <c r="BQ252" s="152">
        <f>BQ254+BQ260+BQ270+BQ274+BQ278+BQ291</f>
        <v>-6798</v>
      </c>
      <c r="BR252" s="152"/>
      <c r="BS252" s="152">
        <f aca="true" t="shared" si="308" ref="BS252:BX252">BS254+BS260+BS270+BS274+BS278+BS291</f>
        <v>0</v>
      </c>
      <c r="BT252" s="152">
        <f t="shared" si="308"/>
        <v>33312</v>
      </c>
      <c r="BU252" s="152">
        <f t="shared" si="308"/>
        <v>2644706</v>
      </c>
      <c r="BV252" s="152">
        <f t="shared" si="308"/>
        <v>354262</v>
      </c>
      <c r="BW252" s="152">
        <f t="shared" si="308"/>
        <v>2587339</v>
      </c>
      <c r="BX252" s="152">
        <f t="shared" si="308"/>
        <v>350775</v>
      </c>
      <c r="BY252" s="60">
        <f t="shared" si="249"/>
        <v>97.83087420681164</v>
      </c>
      <c r="BZ252" s="60">
        <f>BX252/BV252*100</f>
        <v>99.01570024445185</v>
      </c>
    </row>
    <row r="253" spans="1:78" s="10" customFormat="1" ht="14.25" customHeight="1">
      <c r="A253" s="55"/>
      <c r="B253" s="56"/>
      <c r="C253" s="56"/>
      <c r="D253" s="57"/>
      <c r="E253" s="56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52"/>
      <c r="AS253" s="152"/>
      <c r="AT253" s="153"/>
      <c r="AU253" s="153"/>
      <c r="AV253" s="153"/>
      <c r="AW253" s="153"/>
      <c r="AX253" s="153"/>
      <c r="AY253" s="152"/>
      <c r="AZ253" s="152"/>
      <c r="BA253" s="152"/>
      <c r="BB253" s="152"/>
      <c r="BC253" s="152"/>
      <c r="BD253" s="152"/>
      <c r="BE253" s="152"/>
      <c r="BF253" s="152"/>
      <c r="BG253" s="152"/>
      <c r="BH253" s="152"/>
      <c r="BI253" s="152"/>
      <c r="BJ253" s="152"/>
      <c r="BK253" s="152"/>
      <c r="BL253" s="152"/>
      <c r="BM253" s="152"/>
      <c r="BN253" s="152"/>
      <c r="BO253" s="152"/>
      <c r="BP253" s="152"/>
      <c r="BQ253" s="152"/>
      <c r="BR253" s="152"/>
      <c r="BS253" s="152"/>
      <c r="BT253" s="152"/>
      <c r="BU253" s="152"/>
      <c r="BV253" s="152"/>
      <c r="BW253" s="152"/>
      <c r="BX253" s="152"/>
      <c r="BY253" s="60"/>
      <c r="BZ253" s="60"/>
    </row>
    <row r="254" spans="1:78" s="10" customFormat="1" ht="16.5" customHeight="1">
      <c r="A254" s="66" t="s">
        <v>60</v>
      </c>
      <c r="B254" s="67" t="s">
        <v>136</v>
      </c>
      <c r="C254" s="67" t="s">
        <v>127</v>
      </c>
      <c r="D254" s="85"/>
      <c r="E254" s="67"/>
      <c r="F254" s="86">
        <f aca="true" t="shared" si="309" ref="F254:N254">F257+F255</f>
        <v>937522</v>
      </c>
      <c r="G254" s="86">
        <f t="shared" si="309"/>
        <v>18188</v>
      </c>
      <c r="H254" s="86">
        <f t="shared" si="309"/>
        <v>955710</v>
      </c>
      <c r="I254" s="86">
        <f t="shared" si="309"/>
        <v>14275</v>
      </c>
      <c r="J254" s="86">
        <f t="shared" si="309"/>
        <v>-61744</v>
      </c>
      <c r="K254" s="86">
        <f t="shared" si="309"/>
        <v>0</v>
      </c>
      <c r="L254" s="86">
        <f t="shared" si="309"/>
        <v>0</v>
      </c>
      <c r="M254" s="86">
        <f t="shared" si="309"/>
        <v>893966</v>
      </c>
      <c r="N254" s="86">
        <f t="shared" si="309"/>
        <v>14275</v>
      </c>
      <c r="O254" s="86">
        <f aca="true" t="shared" si="310" ref="O254:T254">O257+O255</f>
        <v>0</v>
      </c>
      <c r="P254" s="86">
        <f t="shared" si="310"/>
        <v>0</v>
      </c>
      <c r="Q254" s="86">
        <f t="shared" si="310"/>
        <v>0</v>
      </c>
      <c r="R254" s="86">
        <f t="shared" si="310"/>
        <v>0</v>
      </c>
      <c r="S254" s="86">
        <f t="shared" si="310"/>
        <v>893966</v>
      </c>
      <c r="T254" s="86">
        <f t="shared" si="310"/>
        <v>14275</v>
      </c>
      <c r="U254" s="86">
        <f aca="true" t="shared" si="311" ref="U254:AC254">U257+U255</f>
        <v>0</v>
      </c>
      <c r="V254" s="86">
        <f t="shared" si="311"/>
        <v>0</v>
      </c>
      <c r="W254" s="86">
        <f t="shared" si="311"/>
        <v>0</v>
      </c>
      <c r="X254" s="86">
        <f t="shared" si="311"/>
        <v>0</v>
      </c>
      <c r="Y254" s="86">
        <f t="shared" si="311"/>
        <v>0</v>
      </c>
      <c r="Z254" s="86">
        <f t="shared" si="311"/>
        <v>0</v>
      </c>
      <c r="AA254" s="86">
        <f t="shared" si="311"/>
        <v>0</v>
      </c>
      <c r="AB254" s="86">
        <f t="shared" si="311"/>
        <v>893966</v>
      </c>
      <c r="AC254" s="86">
        <f t="shared" si="311"/>
        <v>14275</v>
      </c>
      <c r="AD254" s="86">
        <f aca="true" t="shared" si="312" ref="AD254:AJ254">AD257+AD255</f>
        <v>1</v>
      </c>
      <c r="AE254" s="86">
        <f t="shared" si="312"/>
        <v>9273</v>
      </c>
      <c r="AF254" s="86">
        <f t="shared" si="312"/>
        <v>-43874</v>
      </c>
      <c r="AG254" s="86">
        <f t="shared" si="312"/>
        <v>0</v>
      </c>
      <c r="AH254" s="86">
        <f t="shared" si="312"/>
        <v>0</v>
      </c>
      <c r="AI254" s="86">
        <f t="shared" si="312"/>
        <v>859366</v>
      </c>
      <c r="AJ254" s="86">
        <f t="shared" si="312"/>
        <v>14275</v>
      </c>
      <c r="AK254" s="86">
        <f aca="true" t="shared" si="313" ref="AK254:AS254">AK257+AK255</f>
        <v>0</v>
      </c>
      <c r="AL254" s="86">
        <f t="shared" si="313"/>
        <v>859366</v>
      </c>
      <c r="AM254" s="86">
        <f t="shared" si="313"/>
        <v>14275</v>
      </c>
      <c r="AN254" s="86">
        <f t="shared" si="313"/>
        <v>440</v>
      </c>
      <c r="AO254" s="86">
        <f>AO257+AO255</f>
        <v>2649</v>
      </c>
      <c r="AP254" s="86">
        <f t="shared" si="313"/>
        <v>0</v>
      </c>
      <c r="AQ254" s="86">
        <f t="shared" si="313"/>
        <v>0</v>
      </c>
      <c r="AR254" s="86">
        <f t="shared" si="313"/>
        <v>862455</v>
      </c>
      <c r="AS254" s="86">
        <f t="shared" si="313"/>
        <v>14275</v>
      </c>
      <c r="AT254" s="87">
        <f aca="true" t="shared" si="314" ref="AT254:BE254">AT257+AT255</f>
        <v>1015</v>
      </c>
      <c r="AU254" s="87">
        <f t="shared" si="314"/>
        <v>0</v>
      </c>
      <c r="AV254" s="87">
        <f t="shared" si="314"/>
        <v>0</v>
      </c>
      <c r="AW254" s="87">
        <f t="shared" si="314"/>
        <v>863470</v>
      </c>
      <c r="AX254" s="87">
        <f t="shared" si="314"/>
        <v>14275</v>
      </c>
      <c r="AY254" s="86">
        <f t="shared" si="314"/>
        <v>-18149</v>
      </c>
      <c r="AZ254" s="86">
        <f t="shared" si="314"/>
        <v>-2841</v>
      </c>
      <c r="BA254" s="86">
        <f>BA257+BA255</f>
        <v>0</v>
      </c>
      <c r="BB254" s="86">
        <f>BB257+BB255</f>
        <v>12700</v>
      </c>
      <c r="BC254" s="86">
        <f t="shared" si="314"/>
        <v>0</v>
      </c>
      <c r="BD254" s="86">
        <f t="shared" si="314"/>
        <v>855180</v>
      </c>
      <c r="BE254" s="86">
        <f t="shared" si="314"/>
        <v>14275</v>
      </c>
      <c r="BF254" s="86">
        <f>BF257+BF255</f>
        <v>0</v>
      </c>
      <c r="BG254" s="86">
        <f>BG257+BG255</f>
        <v>0</v>
      </c>
      <c r="BH254" s="86">
        <f>BH257+BH255</f>
        <v>0</v>
      </c>
      <c r="BI254" s="86">
        <f>BI257+BI255</f>
        <v>855180</v>
      </c>
      <c r="BJ254" s="86">
        <f>BJ257+BJ255</f>
        <v>14275</v>
      </c>
      <c r="BK254" s="86">
        <f aca="true" t="shared" si="315" ref="BK254:BP254">BK257+BK255</f>
        <v>1381</v>
      </c>
      <c r="BL254" s="86">
        <f t="shared" si="315"/>
        <v>0</v>
      </c>
      <c r="BM254" s="86">
        <f t="shared" si="315"/>
        <v>0</v>
      </c>
      <c r="BN254" s="86">
        <f t="shared" si="315"/>
        <v>0</v>
      </c>
      <c r="BO254" s="86">
        <f t="shared" si="315"/>
        <v>856561</v>
      </c>
      <c r="BP254" s="86">
        <f t="shared" si="315"/>
        <v>14275</v>
      </c>
      <c r="BQ254" s="86">
        <f>BQ257+BQ255</f>
        <v>-523</v>
      </c>
      <c r="BR254" s="86"/>
      <c r="BS254" s="86">
        <f aca="true" t="shared" si="316" ref="BS254:BX254">BS257+BS255</f>
        <v>0</v>
      </c>
      <c r="BT254" s="86">
        <f t="shared" si="316"/>
        <v>0</v>
      </c>
      <c r="BU254" s="86">
        <f t="shared" si="316"/>
        <v>856038</v>
      </c>
      <c r="BV254" s="86">
        <f t="shared" si="316"/>
        <v>14275</v>
      </c>
      <c r="BW254" s="86">
        <f t="shared" si="316"/>
        <v>840145</v>
      </c>
      <c r="BX254" s="86">
        <f t="shared" si="316"/>
        <v>11387</v>
      </c>
      <c r="BY254" s="71">
        <f t="shared" si="249"/>
        <v>98.14342353960922</v>
      </c>
      <c r="BZ254" s="71">
        <f>BX254/BV254*100</f>
        <v>79.76882661996497</v>
      </c>
    </row>
    <row r="255" spans="1:78" s="10" customFormat="1" ht="57" customHeight="1" hidden="1">
      <c r="A255" s="88" t="s">
        <v>152</v>
      </c>
      <c r="B255" s="89" t="s">
        <v>136</v>
      </c>
      <c r="C255" s="89" t="s">
        <v>127</v>
      </c>
      <c r="D255" s="90" t="s">
        <v>39</v>
      </c>
      <c r="E255" s="154"/>
      <c r="F255" s="91">
        <f aca="true" t="shared" si="317" ref="F255:BQ255">F256</f>
        <v>1983</v>
      </c>
      <c r="G255" s="91">
        <f t="shared" si="317"/>
        <v>4100</v>
      </c>
      <c r="H255" s="91">
        <f t="shared" si="317"/>
        <v>6083</v>
      </c>
      <c r="I255" s="91">
        <f t="shared" si="317"/>
        <v>0</v>
      </c>
      <c r="J255" s="91">
        <f t="shared" si="317"/>
        <v>0</v>
      </c>
      <c r="K255" s="91">
        <f t="shared" si="317"/>
        <v>0</v>
      </c>
      <c r="L255" s="91">
        <f t="shared" si="317"/>
        <v>0</v>
      </c>
      <c r="M255" s="91">
        <f t="shared" si="317"/>
        <v>6083</v>
      </c>
      <c r="N255" s="91">
        <f t="shared" si="317"/>
        <v>0</v>
      </c>
      <c r="O255" s="91">
        <f t="shared" si="317"/>
        <v>0</v>
      </c>
      <c r="P255" s="91"/>
      <c r="Q255" s="91">
        <f t="shared" si="317"/>
        <v>0</v>
      </c>
      <c r="R255" s="91">
        <f t="shared" si="317"/>
        <v>0</v>
      </c>
      <c r="S255" s="91">
        <f t="shared" si="317"/>
        <v>6083</v>
      </c>
      <c r="T255" s="91">
        <f t="shared" si="317"/>
        <v>0</v>
      </c>
      <c r="U255" s="91">
        <f t="shared" si="317"/>
        <v>0</v>
      </c>
      <c r="V255" s="91">
        <f t="shared" si="317"/>
        <v>0</v>
      </c>
      <c r="W255" s="91">
        <f t="shared" si="317"/>
        <v>0</v>
      </c>
      <c r="X255" s="91">
        <f t="shared" si="317"/>
        <v>0</v>
      </c>
      <c r="Y255" s="91">
        <f t="shared" si="317"/>
        <v>0</v>
      </c>
      <c r="Z255" s="91">
        <f t="shared" si="317"/>
        <v>0</v>
      </c>
      <c r="AA255" s="91">
        <f t="shared" si="317"/>
        <v>0</v>
      </c>
      <c r="AB255" s="91">
        <f t="shared" si="317"/>
        <v>6083</v>
      </c>
      <c r="AC255" s="91">
        <f t="shared" si="317"/>
        <v>0</v>
      </c>
      <c r="AD255" s="91">
        <f t="shared" si="317"/>
        <v>0</v>
      </c>
      <c r="AE255" s="91">
        <f t="shared" si="317"/>
        <v>0</v>
      </c>
      <c r="AF255" s="91">
        <f t="shared" si="317"/>
        <v>-5623</v>
      </c>
      <c r="AG255" s="91">
        <f t="shared" si="317"/>
        <v>0</v>
      </c>
      <c r="AH255" s="91">
        <f t="shared" si="317"/>
        <v>0</v>
      </c>
      <c r="AI255" s="91">
        <f t="shared" si="317"/>
        <v>460</v>
      </c>
      <c r="AJ255" s="91">
        <f t="shared" si="317"/>
        <v>0</v>
      </c>
      <c r="AK255" s="91">
        <f t="shared" si="317"/>
        <v>0</v>
      </c>
      <c r="AL255" s="91">
        <f t="shared" si="317"/>
        <v>460</v>
      </c>
      <c r="AM255" s="91">
        <f t="shared" si="317"/>
        <v>0</v>
      </c>
      <c r="AN255" s="91">
        <f t="shared" si="317"/>
        <v>0</v>
      </c>
      <c r="AO255" s="91">
        <f t="shared" si="317"/>
        <v>0</v>
      </c>
      <c r="AP255" s="91">
        <f t="shared" si="317"/>
        <v>0</v>
      </c>
      <c r="AQ255" s="91">
        <f t="shared" si="317"/>
        <v>0</v>
      </c>
      <c r="AR255" s="91">
        <f t="shared" si="317"/>
        <v>460</v>
      </c>
      <c r="AS255" s="91">
        <f t="shared" si="317"/>
        <v>0</v>
      </c>
      <c r="AT255" s="92">
        <f t="shared" si="317"/>
        <v>-65</v>
      </c>
      <c r="AU255" s="92">
        <f t="shared" si="317"/>
        <v>0</v>
      </c>
      <c r="AV255" s="92">
        <f t="shared" si="317"/>
        <v>0</v>
      </c>
      <c r="AW255" s="92">
        <f t="shared" si="317"/>
        <v>395</v>
      </c>
      <c r="AX255" s="92">
        <f t="shared" si="317"/>
        <v>0</v>
      </c>
      <c r="AY255" s="91">
        <f t="shared" si="317"/>
        <v>-103</v>
      </c>
      <c r="AZ255" s="91">
        <f t="shared" si="317"/>
        <v>0</v>
      </c>
      <c r="BA255" s="91">
        <f t="shared" si="317"/>
        <v>0</v>
      </c>
      <c r="BB255" s="91">
        <f t="shared" si="317"/>
        <v>0</v>
      </c>
      <c r="BC255" s="91">
        <f t="shared" si="317"/>
        <v>0</v>
      </c>
      <c r="BD255" s="91">
        <f t="shared" si="317"/>
        <v>292</v>
      </c>
      <c r="BE255" s="91">
        <f t="shared" si="317"/>
        <v>0</v>
      </c>
      <c r="BF255" s="91">
        <f t="shared" si="317"/>
        <v>0</v>
      </c>
      <c r="BG255" s="91">
        <f t="shared" si="317"/>
        <v>0</v>
      </c>
      <c r="BH255" s="91">
        <f t="shared" si="317"/>
        <v>0</v>
      </c>
      <c r="BI255" s="91">
        <f t="shared" si="317"/>
        <v>292</v>
      </c>
      <c r="BJ255" s="91">
        <f t="shared" si="317"/>
        <v>0</v>
      </c>
      <c r="BK255" s="91">
        <f t="shared" si="317"/>
        <v>0</v>
      </c>
      <c r="BL255" s="91">
        <f t="shared" si="317"/>
        <v>0</v>
      </c>
      <c r="BM255" s="91">
        <f t="shared" si="317"/>
        <v>0</v>
      </c>
      <c r="BN255" s="91">
        <f t="shared" si="317"/>
        <v>0</v>
      </c>
      <c r="BO255" s="91">
        <f t="shared" si="317"/>
        <v>292</v>
      </c>
      <c r="BP255" s="91">
        <f t="shared" si="317"/>
        <v>0</v>
      </c>
      <c r="BQ255" s="91">
        <f t="shared" si="317"/>
        <v>-5</v>
      </c>
      <c r="BR255" s="91"/>
      <c r="BS255" s="91">
        <f aca="true" t="shared" si="318" ref="BS255:BX255">BS256</f>
        <v>0</v>
      </c>
      <c r="BT255" s="91">
        <f t="shared" si="318"/>
        <v>0</v>
      </c>
      <c r="BU255" s="91">
        <f t="shared" si="318"/>
        <v>287</v>
      </c>
      <c r="BV255" s="91">
        <f t="shared" si="318"/>
        <v>0</v>
      </c>
      <c r="BW255" s="91">
        <f t="shared" si="318"/>
        <v>274</v>
      </c>
      <c r="BX255" s="91">
        <f t="shared" si="318"/>
        <v>0</v>
      </c>
      <c r="BY255" s="77">
        <f t="shared" si="249"/>
        <v>95.47038327526133</v>
      </c>
      <c r="BZ255" s="72"/>
    </row>
    <row r="256" spans="1:78" s="10" customFormat="1" ht="102.75" customHeight="1" hidden="1">
      <c r="A256" s="88" t="s">
        <v>360</v>
      </c>
      <c r="B256" s="89" t="s">
        <v>136</v>
      </c>
      <c r="C256" s="89" t="s">
        <v>127</v>
      </c>
      <c r="D256" s="90" t="s">
        <v>39</v>
      </c>
      <c r="E256" s="89" t="s">
        <v>153</v>
      </c>
      <c r="F256" s="91">
        <v>1983</v>
      </c>
      <c r="G256" s="75">
        <f>H256-F256</f>
        <v>4100</v>
      </c>
      <c r="H256" s="93">
        <v>6083</v>
      </c>
      <c r="I256" s="155"/>
      <c r="J256" s="155"/>
      <c r="K256" s="155"/>
      <c r="L256" s="155"/>
      <c r="M256" s="75">
        <f>H256+J256+K256+L256</f>
        <v>6083</v>
      </c>
      <c r="N256" s="78">
        <f>I256+L256</f>
        <v>0</v>
      </c>
      <c r="O256" s="155"/>
      <c r="P256" s="155"/>
      <c r="Q256" s="156"/>
      <c r="R256" s="156"/>
      <c r="S256" s="75">
        <f>M256+O256+P256+Q256+R256</f>
        <v>6083</v>
      </c>
      <c r="T256" s="75">
        <f>N256+R256</f>
        <v>0</v>
      </c>
      <c r="U256" s="156"/>
      <c r="V256" s="156"/>
      <c r="W256" s="156"/>
      <c r="X256" s="156"/>
      <c r="Y256" s="156"/>
      <c r="Z256" s="156"/>
      <c r="AA256" s="156"/>
      <c r="AB256" s="75">
        <f>S256+U256+V256+W256+X256+Y256+Z256+AA256</f>
        <v>6083</v>
      </c>
      <c r="AC256" s="75">
        <f>T256+Z256+AA256</f>
        <v>0</v>
      </c>
      <c r="AD256" s="156"/>
      <c r="AE256" s="156"/>
      <c r="AF256" s="75">
        <v>-5623</v>
      </c>
      <c r="AG256" s="156"/>
      <c r="AH256" s="156"/>
      <c r="AI256" s="75">
        <f>AB256+AD256+AE256+AF256+AG256+AH256</f>
        <v>460</v>
      </c>
      <c r="AJ256" s="75">
        <f>AC256+AH256</f>
        <v>0</v>
      </c>
      <c r="AK256" s="156"/>
      <c r="AL256" s="75">
        <f>AI256+AK256</f>
        <v>460</v>
      </c>
      <c r="AM256" s="75">
        <f>AJ256</f>
        <v>0</v>
      </c>
      <c r="AN256" s="156"/>
      <c r="AO256" s="156"/>
      <c r="AP256" s="156"/>
      <c r="AQ256" s="156"/>
      <c r="AR256" s="75">
        <f>AL256+AN256+AO256+AP256+AQ256</f>
        <v>460</v>
      </c>
      <c r="AS256" s="75">
        <f>AM256+AQ256</f>
        <v>0</v>
      </c>
      <c r="AT256" s="81">
        <v>-65</v>
      </c>
      <c r="AU256" s="81"/>
      <c r="AV256" s="81"/>
      <c r="AW256" s="76">
        <f>AV256+AU256+AT256+AR256</f>
        <v>395</v>
      </c>
      <c r="AX256" s="76">
        <f>AV256+AS256</f>
        <v>0</v>
      </c>
      <c r="AY256" s="75">
        <v>-103</v>
      </c>
      <c r="AZ256" s="157"/>
      <c r="BA256" s="157"/>
      <c r="BB256" s="157"/>
      <c r="BC256" s="157"/>
      <c r="BD256" s="75">
        <f>AW256+AY256+AZ256+BA256+BB256+BC256</f>
        <v>292</v>
      </c>
      <c r="BE256" s="75">
        <f>AX256+BC256</f>
        <v>0</v>
      </c>
      <c r="BF256" s="156"/>
      <c r="BG256" s="156"/>
      <c r="BH256" s="156"/>
      <c r="BI256" s="75">
        <f>BD256+BF256+BG256+BH256</f>
        <v>292</v>
      </c>
      <c r="BJ256" s="75">
        <f>BE256+BH256</f>
        <v>0</v>
      </c>
      <c r="BK256" s="158"/>
      <c r="BL256" s="158"/>
      <c r="BM256" s="158"/>
      <c r="BN256" s="158"/>
      <c r="BO256" s="75">
        <f>BI256+BK256+BL256+BM256+BN256</f>
        <v>292</v>
      </c>
      <c r="BP256" s="75">
        <f>BJ256+BN256</f>
        <v>0</v>
      </c>
      <c r="BQ256" s="78">
        <v>-5</v>
      </c>
      <c r="BR256" s="78"/>
      <c r="BS256" s="156"/>
      <c r="BT256" s="156"/>
      <c r="BU256" s="75">
        <f>BO256+BQ256+BS256+BT256</f>
        <v>287</v>
      </c>
      <c r="BV256" s="75">
        <f>BP256+BT256</f>
        <v>0</v>
      </c>
      <c r="BW256" s="75">
        <v>274</v>
      </c>
      <c r="BX256" s="75">
        <f>BR256+BV256</f>
        <v>0</v>
      </c>
      <c r="BY256" s="77">
        <f t="shared" si="249"/>
        <v>95.47038327526133</v>
      </c>
      <c r="BZ256" s="72"/>
    </row>
    <row r="257" spans="1:78" s="10" customFormat="1" ht="20.25" hidden="1">
      <c r="A257" s="88" t="s">
        <v>61</v>
      </c>
      <c r="B257" s="89" t="s">
        <v>136</v>
      </c>
      <c r="C257" s="89" t="s">
        <v>127</v>
      </c>
      <c r="D257" s="90" t="s">
        <v>62</v>
      </c>
      <c r="E257" s="89"/>
      <c r="F257" s="91">
        <f aca="true" t="shared" si="319" ref="F257:BQ257">F258</f>
        <v>935539</v>
      </c>
      <c r="G257" s="91">
        <f t="shared" si="319"/>
        <v>14088</v>
      </c>
      <c r="H257" s="91">
        <f t="shared" si="319"/>
        <v>949627</v>
      </c>
      <c r="I257" s="91">
        <f t="shared" si="319"/>
        <v>14275</v>
      </c>
      <c r="J257" s="91">
        <f t="shared" si="319"/>
        <v>-61744</v>
      </c>
      <c r="K257" s="91">
        <f t="shared" si="319"/>
        <v>0</v>
      </c>
      <c r="L257" s="91">
        <f t="shared" si="319"/>
        <v>0</v>
      </c>
      <c r="M257" s="91">
        <f t="shared" si="319"/>
        <v>887883</v>
      </c>
      <c r="N257" s="91">
        <f t="shared" si="319"/>
        <v>14275</v>
      </c>
      <c r="O257" s="91">
        <f t="shared" si="319"/>
        <v>0</v>
      </c>
      <c r="P257" s="91">
        <f t="shared" si="319"/>
        <v>0</v>
      </c>
      <c r="Q257" s="91">
        <f t="shared" si="319"/>
        <v>0</v>
      </c>
      <c r="R257" s="91">
        <f t="shared" si="319"/>
        <v>0</v>
      </c>
      <c r="S257" s="91">
        <f t="shared" si="319"/>
        <v>887883</v>
      </c>
      <c r="T257" s="91">
        <f t="shared" si="319"/>
        <v>14275</v>
      </c>
      <c r="U257" s="91">
        <f t="shared" si="319"/>
        <v>0</v>
      </c>
      <c r="V257" s="91">
        <f t="shared" si="319"/>
        <v>0</v>
      </c>
      <c r="W257" s="91">
        <f t="shared" si="319"/>
        <v>0</v>
      </c>
      <c r="X257" s="91">
        <f t="shared" si="319"/>
        <v>0</v>
      </c>
      <c r="Y257" s="91">
        <f t="shared" si="319"/>
        <v>0</v>
      </c>
      <c r="Z257" s="91">
        <f t="shared" si="319"/>
        <v>0</v>
      </c>
      <c r="AA257" s="91">
        <f t="shared" si="319"/>
        <v>0</v>
      </c>
      <c r="AB257" s="91">
        <f t="shared" si="319"/>
        <v>887883</v>
      </c>
      <c r="AC257" s="91">
        <f t="shared" si="319"/>
        <v>14275</v>
      </c>
      <c r="AD257" s="91">
        <f t="shared" si="319"/>
        <v>1</v>
      </c>
      <c r="AE257" s="91">
        <f t="shared" si="319"/>
        <v>9273</v>
      </c>
      <c r="AF257" s="91">
        <f t="shared" si="319"/>
        <v>-38251</v>
      </c>
      <c r="AG257" s="91">
        <f t="shared" si="319"/>
        <v>0</v>
      </c>
      <c r="AH257" s="91">
        <f t="shared" si="319"/>
        <v>0</v>
      </c>
      <c r="AI257" s="91">
        <f t="shared" si="319"/>
        <v>858906</v>
      </c>
      <c r="AJ257" s="91">
        <f t="shared" si="319"/>
        <v>14275</v>
      </c>
      <c r="AK257" s="91">
        <f t="shared" si="319"/>
        <v>0</v>
      </c>
      <c r="AL257" s="91">
        <f t="shared" si="319"/>
        <v>858906</v>
      </c>
      <c r="AM257" s="91">
        <f t="shared" si="319"/>
        <v>14275</v>
      </c>
      <c r="AN257" s="91">
        <f t="shared" si="319"/>
        <v>440</v>
      </c>
      <c r="AO257" s="91">
        <f t="shared" si="319"/>
        <v>2649</v>
      </c>
      <c r="AP257" s="91">
        <f t="shared" si="319"/>
        <v>0</v>
      </c>
      <c r="AQ257" s="91">
        <f t="shared" si="319"/>
        <v>0</v>
      </c>
      <c r="AR257" s="91">
        <f t="shared" si="319"/>
        <v>861995</v>
      </c>
      <c r="AS257" s="91">
        <f t="shared" si="319"/>
        <v>14275</v>
      </c>
      <c r="AT257" s="92">
        <f t="shared" si="319"/>
        <v>1080</v>
      </c>
      <c r="AU257" s="92">
        <f t="shared" si="319"/>
        <v>0</v>
      </c>
      <c r="AV257" s="92">
        <f t="shared" si="319"/>
        <v>0</v>
      </c>
      <c r="AW257" s="92">
        <f t="shared" si="319"/>
        <v>863075</v>
      </c>
      <c r="AX257" s="92">
        <f t="shared" si="319"/>
        <v>14275</v>
      </c>
      <c r="AY257" s="91">
        <f t="shared" si="319"/>
        <v>-18046</v>
      </c>
      <c r="AZ257" s="91">
        <f t="shared" si="319"/>
        <v>-2841</v>
      </c>
      <c r="BA257" s="91">
        <f t="shared" si="319"/>
        <v>0</v>
      </c>
      <c r="BB257" s="91">
        <f t="shared" si="319"/>
        <v>12700</v>
      </c>
      <c r="BC257" s="91">
        <f t="shared" si="319"/>
        <v>0</v>
      </c>
      <c r="BD257" s="91">
        <f t="shared" si="319"/>
        <v>854888</v>
      </c>
      <c r="BE257" s="91">
        <f t="shared" si="319"/>
        <v>14275</v>
      </c>
      <c r="BF257" s="91">
        <f t="shared" si="319"/>
        <v>0</v>
      </c>
      <c r="BG257" s="91">
        <f t="shared" si="319"/>
        <v>0</v>
      </c>
      <c r="BH257" s="91">
        <f t="shared" si="319"/>
        <v>0</v>
      </c>
      <c r="BI257" s="91">
        <f t="shared" si="319"/>
        <v>854888</v>
      </c>
      <c r="BJ257" s="91">
        <f t="shared" si="319"/>
        <v>14275</v>
      </c>
      <c r="BK257" s="91">
        <f t="shared" si="319"/>
        <v>1381</v>
      </c>
      <c r="BL257" s="91">
        <f t="shared" si="319"/>
        <v>0</v>
      </c>
      <c r="BM257" s="91">
        <f t="shared" si="319"/>
        <v>0</v>
      </c>
      <c r="BN257" s="91">
        <f t="shared" si="319"/>
        <v>0</v>
      </c>
      <c r="BO257" s="91">
        <f t="shared" si="319"/>
        <v>856269</v>
      </c>
      <c r="BP257" s="91">
        <f t="shared" si="319"/>
        <v>14275</v>
      </c>
      <c r="BQ257" s="91">
        <f t="shared" si="319"/>
        <v>-518</v>
      </c>
      <c r="BR257" s="91"/>
      <c r="BS257" s="91">
        <f aca="true" t="shared" si="320" ref="BS257:BX257">BS258</f>
        <v>0</v>
      </c>
      <c r="BT257" s="91">
        <f t="shared" si="320"/>
        <v>0</v>
      </c>
      <c r="BU257" s="91">
        <f t="shared" si="320"/>
        <v>855751</v>
      </c>
      <c r="BV257" s="91">
        <f t="shared" si="320"/>
        <v>14275</v>
      </c>
      <c r="BW257" s="91">
        <f t="shared" si="320"/>
        <v>839871</v>
      </c>
      <c r="BX257" s="91">
        <f t="shared" si="320"/>
        <v>11387</v>
      </c>
      <c r="BY257" s="77">
        <f t="shared" si="249"/>
        <v>98.14432001832309</v>
      </c>
      <c r="BZ257" s="77">
        <f t="shared" si="249"/>
        <v>79.76882661996497</v>
      </c>
    </row>
    <row r="258" spans="1:78" s="10" customFormat="1" ht="36" customHeight="1" hidden="1">
      <c r="A258" s="88" t="s">
        <v>129</v>
      </c>
      <c r="B258" s="89" t="s">
        <v>136</v>
      </c>
      <c r="C258" s="89" t="s">
        <v>127</v>
      </c>
      <c r="D258" s="90" t="s">
        <v>62</v>
      </c>
      <c r="E258" s="89" t="s">
        <v>130</v>
      </c>
      <c r="F258" s="91">
        <v>935539</v>
      </c>
      <c r="G258" s="75">
        <f>H258-F258</f>
        <v>14088</v>
      </c>
      <c r="H258" s="93">
        <f>14275+935352</f>
        <v>949627</v>
      </c>
      <c r="I258" s="93">
        <v>14275</v>
      </c>
      <c r="J258" s="93">
        <v>-61744</v>
      </c>
      <c r="K258" s="155"/>
      <c r="L258" s="155"/>
      <c r="M258" s="75">
        <f>H258+J258+K258+L258</f>
        <v>887883</v>
      </c>
      <c r="N258" s="75">
        <f>I258+L258</f>
        <v>14275</v>
      </c>
      <c r="O258" s="155"/>
      <c r="P258" s="93"/>
      <c r="Q258" s="75"/>
      <c r="R258" s="156"/>
      <c r="S258" s="75">
        <f>M258+O258+P258+Q258+R258</f>
        <v>887883</v>
      </c>
      <c r="T258" s="75">
        <f>N258+R258</f>
        <v>14275</v>
      </c>
      <c r="U258" s="75"/>
      <c r="V258" s="75"/>
      <c r="W258" s="156"/>
      <c r="X258" s="156"/>
      <c r="Y258" s="156"/>
      <c r="Z258" s="156"/>
      <c r="AA258" s="156"/>
      <c r="AB258" s="75">
        <f>S258+U258+V258+W258+X258+Y258+Z258+AA258</f>
        <v>887883</v>
      </c>
      <c r="AC258" s="75">
        <f>T258+Z258+AA258</f>
        <v>14275</v>
      </c>
      <c r="AD258" s="78">
        <v>1</v>
      </c>
      <c r="AE258" s="75">
        <v>9273</v>
      </c>
      <c r="AF258" s="75">
        <v>-38251</v>
      </c>
      <c r="AG258" s="156"/>
      <c r="AH258" s="156"/>
      <c r="AI258" s="75">
        <f>AB258+AD258+AE258+AF258+AG258+AH258</f>
        <v>858906</v>
      </c>
      <c r="AJ258" s="75">
        <f>AC258+AH258</f>
        <v>14275</v>
      </c>
      <c r="AK258" s="156"/>
      <c r="AL258" s="75">
        <f>AI258+AK258</f>
        <v>858906</v>
      </c>
      <c r="AM258" s="75">
        <f>AJ258</f>
        <v>14275</v>
      </c>
      <c r="AN258" s="78">
        <v>440</v>
      </c>
      <c r="AO258" s="75">
        <v>2649</v>
      </c>
      <c r="AP258" s="156"/>
      <c r="AQ258" s="156"/>
      <c r="AR258" s="75">
        <f>AL258+AN258+AO258+AP258+AQ258</f>
        <v>861995</v>
      </c>
      <c r="AS258" s="75">
        <f>AM258+AQ258</f>
        <v>14275</v>
      </c>
      <c r="AT258" s="81">
        <v>1080</v>
      </c>
      <c r="AU258" s="81"/>
      <c r="AV258" s="159"/>
      <c r="AW258" s="76">
        <f>AV258+AU258+AT258+AR258</f>
        <v>863075</v>
      </c>
      <c r="AX258" s="76">
        <f>AV258+AS258</f>
        <v>14275</v>
      </c>
      <c r="AY258" s="75">
        <v>-18046</v>
      </c>
      <c r="AZ258" s="75">
        <v>-2841</v>
      </c>
      <c r="BA258" s="75"/>
      <c r="BB258" s="75">
        <v>12700</v>
      </c>
      <c r="BC258" s="157"/>
      <c r="BD258" s="75">
        <f>AW258+AY258+AZ258+BA258+BB258+BC258</f>
        <v>854888</v>
      </c>
      <c r="BE258" s="75">
        <f>AX258+BC258</f>
        <v>14275</v>
      </c>
      <c r="BF258" s="156"/>
      <c r="BG258" s="156"/>
      <c r="BH258" s="156"/>
      <c r="BI258" s="75">
        <f>BD258+BF258+BG258+BH258</f>
        <v>854888</v>
      </c>
      <c r="BJ258" s="75">
        <f>BE258+BH258</f>
        <v>14275</v>
      </c>
      <c r="BK258" s="75">
        <v>1381</v>
      </c>
      <c r="BL258" s="158"/>
      <c r="BM258" s="158"/>
      <c r="BN258" s="158"/>
      <c r="BO258" s="75">
        <f>BI258+BK258+BL258+BM258+BN258</f>
        <v>856269</v>
      </c>
      <c r="BP258" s="75">
        <f>BJ258+BN258</f>
        <v>14275</v>
      </c>
      <c r="BQ258" s="78">
        <f>-518</f>
        <v>-518</v>
      </c>
      <c r="BR258" s="78"/>
      <c r="BS258" s="156"/>
      <c r="BT258" s="156"/>
      <c r="BU258" s="75">
        <f>BO258+BQ258+BS258+BT258</f>
        <v>855751</v>
      </c>
      <c r="BV258" s="75">
        <f>BP258+BT258</f>
        <v>14275</v>
      </c>
      <c r="BW258" s="75">
        <v>839871</v>
      </c>
      <c r="BX258" s="75">
        <v>11387</v>
      </c>
      <c r="BY258" s="77">
        <f t="shared" si="249"/>
        <v>98.14432001832309</v>
      </c>
      <c r="BZ258" s="77">
        <f t="shared" si="249"/>
        <v>79.76882661996497</v>
      </c>
    </row>
    <row r="259" spans="1:78" ht="15" customHeight="1">
      <c r="A259" s="110"/>
      <c r="B259" s="83"/>
      <c r="C259" s="83"/>
      <c r="D259" s="84"/>
      <c r="E259" s="83"/>
      <c r="F259" s="52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1"/>
      <c r="R259" s="51"/>
      <c r="S259" s="52"/>
      <c r="T259" s="52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2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3"/>
      <c r="AU259" s="53"/>
      <c r="AV259" s="53"/>
      <c r="AW259" s="53"/>
      <c r="AX259" s="53"/>
      <c r="AY259" s="52"/>
      <c r="AZ259" s="52"/>
      <c r="BA259" s="52"/>
      <c r="BB259" s="52"/>
      <c r="BC259" s="52"/>
      <c r="BD259" s="54"/>
      <c r="BE259" s="54"/>
      <c r="BF259" s="51"/>
      <c r="BG259" s="51"/>
      <c r="BH259" s="51"/>
      <c r="BI259" s="51"/>
      <c r="BJ259" s="51"/>
      <c r="BK259" s="54"/>
      <c r="BL259" s="54"/>
      <c r="BM259" s="54"/>
      <c r="BN259" s="54"/>
      <c r="BO259" s="54"/>
      <c r="BP259" s="54"/>
      <c r="BQ259" s="51"/>
      <c r="BR259" s="51"/>
      <c r="BS259" s="51"/>
      <c r="BT259" s="51"/>
      <c r="BU259" s="51"/>
      <c r="BV259" s="51"/>
      <c r="BW259" s="51"/>
      <c r="BX259" s="51"/>
      <c r="BY259" s="72"/>
      <c r="BZ259" s="72"/>
    </row>
    <row r="260" spans="1:78" s="12" customFormat="1" ht="18.75">
      <c r="A260" s="66" t="s">
        <v>63</v>
      </c>
      <c r="B260" s="67" t="s">
        <v>136</v>
      </c>
      <c r="C260" s="67" t="s">
        <v>128</v>
      </c>
      <c r="D260" s="85"/>
      <c r="E260" s="67"/>
      <c r="F260" s="86">
        <f aca="true" t="shared" si="321" ref="F260:M260">F265+F263+F261</f>
        <v>977813</v>
      </c>
      <c r="G260" s="86">
        <f t="shared" si="321"/>
        <v>206112</v>
      </c>
      <c r="H260" s="86">
        <f t="shared" si="321"/>
        <v>1183925</v>
      </c>
      <c r="I260" s="86">
        <f t="shared" si="321"/>
        <v>0</v>
      </c>
      <c r="J260" s="86">
        <f t="shared" si="321"/>
        <v>-143356</v>
      </c>
      <c r="K260" s="86">
        <f t="shared" si="321"/>
        <v>0</v>
      </c>
      <c r="L260" s="86">
        <f t="shared" si="321"/>
        <v>0</v>
      </c>
      <c r="M260" s="86">
        <f t="shared" si="321"/>
        <v>1040569</v>
      </c>
      <c r="N260" s="86">
        <f aca="true" t="shared" si="322" ref="N260:S260">N265+N263+N261</f>
        <v>0</v>
      </c>
      <c r="O260" s="86">
        <f t="shared" si="322"/>
        <v>0</v>
      </c>
      <c r="P260" s="86">
        <f t="shared" si="322"/>
        <v>0</v>
      </c>
      <c r="Q260" s="86">
        <f t="shared" si="322"/>
        <v>0</v>
      </c>
      <c r="R260" s="86">
        <f t="shared" si="322"/>
        <v>0</v>
      </c>
      <c r="S260" s="86">
        <f t="shared" si="322"/>
        <v>1040569</v>
      </c>
      <c r="T260" s="86">
        <f aca="true" t="shared" si="323" ref="T260:AC260">T265+T263+T261</f>
        <v>0</v>
      </c>
      <c r="U260" s="86">
        <f t="shared" si="323"/>
        <v>0</v>
      </c>
      <c r="V260" s="86">
        <f t="shared" si="323"/>
        <v>0</v>
      </c>
      <c r="W260" s="86">
        <f t="shared" si="323"/>
        <v>0</v>
      </c>
      <c r="X260" s="86">
        <f t="shared" si="323"/>
        <v>0</v>
      </c>
      <c r="Y260" s="86">
        <f t="shared" si="323"/>
        <v>0</v>
      </c>
      <c r="Z260" s="86">
        <f t="shared" si="323"/>
        <v>0</v>
      </c>
      <c r="AA260" s="86">
        <f t="shared" si="323"/>
        <v>4500</v>
      </c>
      <c r="AB260" s="86">
        <f t="shared" si="323"/>
        <v>1045069</v>
      </c>
      <c r="AC260" s="86">
        <f t="shared" si="323"/>
        <v>4500</v>
      </c>
      <c r="AD260" s="86">
        <f aca="true" t="shared" si="324" ref="AD260:AJ260">AD265+AD263+AD261</f>
        <v>69</v>
      </c>
      <c r="AE260" s="86">
        <f t="shared" si="324"/>
        <v>25901</v>
      </c>
      <c r="AF260" s="86">
        <f t="shared" si="324"/>
        <v>-99905</v>
      </c>
      <c r="AG260" s="86">
        <f t="shared" si="324"/>
        <v>0</v>
      </c>
      <c r="AH260" s="86">
        <f t="shared" si="324"/>
        <v>0</v>
      </c>
      <c r="AI260" s="86">
        <f t="shared" si="324"/>
        <v>971134</v>
      </c>
      <c r="AJ260" s="86">
        <f t="shared" si="324"/>
        <v>4500</v>
      </c>
      <c r="AK260" s="86">
        <f aca="true" t="shared" si="325" ref="AK260:AS260">AK265+AK263+AK261</f>
        <v>0</v>
      </c>
      <c r="AL260" s="86">
        <f t="shared" si="325"/>
        <v>971134</v>
      </c>
      <c r="AM260" s="86">
        <f t="shared" si="325"/>
        <v>4500</v>
      </c>
      <c r="AN260" s="86">
        <f t="shared" si="325"/>
        <v>560</v>
      </c>
      <c r="AO260" s="86">
        <f>AO265+AO263+AO261</f>
        <v>21704</v>
      </c>
      <c r="AP260" s="86">
        <f t="shared" si="325"/>
        <v>47</v>
      </c>
      <c r="AQ260" s="86">
        <f t="shared" si="325"/>
        <v>5347</v>
      </c>
      <c r="AR260" s="86">
        <f t="shared" si="325"/>
        <v>998792</v>
      </c>
      <c r="AS260" s="86">
        <f t="shared" si="325"/>
        <v>9847</v>
      </c>
      <c r="AT260" s="87">
        <f>AT265+AT263+AT261</f>
        <v>1879</v>
      </c>
      <c r="AU260" s="87">
        <f>AU265+AU263+AU261</f>
        <v>-79</v>
      </c>
      <c r="AV260" s="87">
        <f>AV265+AV263+AV261</f>
        <v>0</v>
      </c>
      <c r="AW260" s="87">
        <f>AW265+AW263+AW261</f>
        <v>1000592</v>
      </c>
      <c r="AX260" s="87">
        <f>AX265+AX263+AX261</f>
        <v>9847</v>
      </c>
      <c r="AY260" s="86">
        <f>AY265+AY263+AY261+AY267</f>
        <v>-24784</v>
      </c>
      <c r="AZ260" s="86">
        <f aca="true" t="shared" si="326" ref="AZ260:BE260">AZ265+AZ263+AZ261+AZ267</f>
        <v>-526</v>
      </c>
      <c r="BA260" s="86">
        <f t="shared" si="326"/>
        <v>0</v>
      </c>
      <c r="BB260" s="86">
        <f t="shared" si="326"/>
        <v>34000</v>
      </c>
      <c r="BC260" s="86">
        <f t="shared" si="326"/>
        <v>48500</v>
      </c>
      <c r="BD260" s="86">
        <f t="shared" si="326"/>
        <v>1057782</v>
      </c>
      <c r="BE260" s="86">
        <f t="shared" si="326"/>
        <v>58347</v>
      </c>
      <c r="BF260" s="86">
        <f>BF265+BF263+BF261+BF267</f>
        <v>0</v>
      </c>
      <c r="BG260" s="86">
        <f>BG265+BG263+BG261+BG267</f>
        <v>0</v>
      </c>
      <c r="BH260" s="86">
        <f>BH265+BH263+BH261+BH267</f>
        <v>0</v>
      </c>
      <c r="BI260" s="86">
        <f>BI265+BI263+BI261+BI267</f>
        <v>1057782</v>
      </c>
      <c r="BJ260" s="86">
        <f>BJ265+BJ263+BJ261+BJ267</f>
        <v>58347</v>
      </c>
      <c r="BK260" s="86">
        <f aca="true" t="shared" si="327" ref="BK260:BP260">BK265+BK263+BK261+BK267</f>
        <v>5020</v>
      </c>
      <c r="BL260" s="86">
        <f t="shared" si="327"/>
        <v>11</v>
      </c>
      <c r="BM260" s="86">
        <f t="shared" si="327"/>
        <v>3582</v>
      </c>
      <c r="BN260" s="86">
        <f t="shared" si="327"/>
        <v>0</v>
      </c>
      <c r="BO260" s="86">
        <f t="shared" si="327"/>
        <v>1066395</v>
      </c>
      <c r="BP260" s="86">
        <f t="shared" si="327"/>
        <v>58347</v>
      </c>
      <c r="BQ260" s="86">
        <f>BQ265+BQ263+BQ261+BQ267</f>
        <v>-2888</v>
      </c>
      <c r="BR260" s="86"/>
      <c r="BS260" s="86">
        <f aca="true" t="shared" si="328" ref="BS260:BX260">BS265+BS263+BS261+BS267</f>
        <v>0</v>
      </c>
      <c r="BT260" s="86">
        <f t="shared" si="328"/>
        <v>0</v>
      </c>
      <c r="BU260" s="86">
        <f t="shared" si="328"/>
        <v>1063507</v>
      </c>
      <c r="BV260" s="86">
        <f t="shared" si="328"/>
        <v>58347</v>
      </c>
      <c r="BW260" s="86">
        <f t="shared" si="328"/>
        <v>1029669</v>
      </c>
      <c r="BX260" s="86">
        <f t="shared" si="328"/>
        <v>57748</v>
      </c>
      <c r="BY260" s="71">
        <f t="shared" si="249"/>
        <v>96.81826259723726</v>
      </c>
      <c r="BZ260" s="71">
        <f>BX260/BV260*100</f>
        <v>98.97338337875127</v>
      </c>
    </row>
    <row r="261" spans="1:78" s="12" customFormat="1" ht="55.5" customHeight="1" hidden="1">
      <c r="A261" s="88" t="s">
        <v>152</v>
      </c>
      <c r="B261" s="89" t="s">
        <v>136</v>
      </c>
      <c r="C261" s="89" t="s">
        <v>128</v>
      </c>
      <c r="D261" s="90" t="s">
        <v>39</v>
      </c>
      <c r="E261" s="154"/>
      <c r="F261" s="91">
        <f>F262</f>
        <v>12620</v>
      </c>
      <c r="G261" s="91">
        <f>G262</f>
        <v>26104</v>
      </c>
      <c r="H261" s="91">
        <f>H262</f>
        <v>38724</v>
      </c>
      <c r="I261" s="91">
        <f aca="true" t="shared" si="329" ref="I261:BW261">I262</f>
        <v>0</v>
      </c>
      <c r="J261" s="91">
        <f t="shared" si="329"/>
        <v>0</v>
      </c>
      <c r="K261" s="91">
        <f t="shared" si="329"/>
        <v>0</v>
      </c>
      <c r="L261" s="91">
        <f t="shared" si="329"/>
        <v>0</v>
      </c>
      <c r="M261" s="91">
        <f t="shared" si="329"/>
        <v>38724</v>
      </c>
      <c r="N261" s="91">
        <f t="shared" si="329"/>
        <v>0</v>
      </c>
      <c r="O261" s="91">
        <f t="shared" si="329"/>
        <v>0</v>
      </c>
      <c r="P261" s="91">
        <f t="shared" si="329"/>
        <v>0</v>
      </c>
      <c r="Q261" s="91">
        <f t="shared" si="329"/>
        <v>0</v>
      </c>
      <c r="R261" s="91">
        <f t="shared" si="329"/>
        <v>0</v>
      </c>
      <c r="S261" s="91">
        <f t="shared" si="329"/>
        <v>38724</v>
      </c>
      <c r="T261" s="91">
        <f t="shared" si="329"/>
        <v>0</v>
      </c>
      <c r="U261" s="91">
        <f t="shared" si="329"/>
        <v>0</v>
      </c>
      <c r="V261" s="91">
        <f t="shared" si="329"/>
        <v>0</v>
      </c>
      <c r="W261" s="91">
        <f t="shared" si="329"/>
        <v>0</v>
      </c>
      <c r="X261" s="91">
        <f t="shared" si="329"/>
        <v>0</v>
      </c>
      <c r="Y261" s="91">
        <f t="shared" si="329"/>
        <v>0</v>
      </c>
      <c r="Z261" s="91">
        <f t="shared" si="329"/>
        <v>0</v>
      </c>
      <c r="AA261" s="91">
        <f t="shared" si="329"/>
        <v>0</v>
      </c>
      <c r="AB261" s="91">
        <f t="shared" si="329"/>
        <v>38724</v>
      </c>
      <c r="AC261" s="91">
        <f t="shared" si="329"/>
        <v>0</v>
      </c>
      <c r="AD261" s="91">
        <f t="shared" si="329"/>
        <v>0</v>
      </c>
      <c r="AE261" s="91">
        <f t="shared" si="329"/>
        <v>0</v>
      </c>
      <c r="AF261" s="91">
        <f t="shared" si="329"/>
        <v>-37224</v>
      </c>
      <c r="AG261" s="91">
        <f t="shared" si="329"/>
        <v>0</v>
      </c>
      <c r="AH261" s="91">
        <f t="shared" si="329"/>
        <v>0</v>
      </c>
      <c r="AI261" s="91">
        <f t="shared" si="329"/>
        <v>1500</v>
      </c>
      <c r="AJ261" s="91">
        <f t="shared" si="329"/>
        <v>0</v>
      </c>
      <c r="AK261" s="91">
        <f t="shared" si="329"/>
        <v>0</v>
      </c>
      <c r="AL261" s="91">
        <f t="shared" si="329"/>
        <v>1500</v>
      </c>
      <c r="AM261" s="91">
        <f t="shared" si="329"/>
        <v>0</v>
      </c>
      <c r="AN261" s="91">
        <f t="shared" si="329"/>
        <v>0</v>
      </c>
      <c r="AO261" s="91">
        <f t="shared" si="329"/>
        <v>0</v>
      </c>
      <c r="AP261" s="91">
        <f t="shared" si="329"/>
        <v>0</v>
      </c>
      <c r="AQ261" s="91">
        <f t="shared" si="329"/>
        <v>0</v>
      </c>
      <c r="AR261" s="91">
        <f t="shared" si="329"/>
        <v>1500</v>
      </c>
      <c r="AS261" s="91">
        <f t="shared" si="329"/>
        <v>0</v>
      </c>
      <c r="AT261" s="92">
        <f t="shared" si="329"/>
        <v>-262</v>
      </c>
      <c r="AU261" s="92">
        <f t="shared" si="329"/>
        <v>0</v>
      </c>
      <c r="AV261" s="92">
        <f t="shared" si="329"/>
        <v>0</v>
      </c>
      <c r="AW261" s="92">
        <f t="shared" si="329"/>
        <v>1238</v>
      </c>
      <c r="AX261" s="92">
        <f t="shared" si="329"/>
        <v>0</v>
      </c>
      <c r="AY261" s="91">
        <f t="shared" si="329"/>
        <v>-286</v>
      </c>
      <c r="AZ261" s="91">
        <f t="shared" si="329"/>
        <v>0</v>
      </c>
      <c r="BA261" s="91">
        <f t="shared" si="329"/>
        <v>0</v>
      </c>
      <c r="BB261" s="91">
        <f t="shared" si="329"/>
        <v>0</v>
      </c>
      <c r="BC261" s="91">
        <f t="shared" si="329"/>
        <v>0</v>
      </c>
      <c r="BD261" s="91">
        <f t="shared" si="329"/>
        <v>952</v>
      </c>
      <c r="BE261" s="91">
        <f t="shared" si="329"/>
        <v>0</v>
      </c>
      <c r="BF261" s="91">
        <f t="shared" si="329"/>
        <v>0</v>
      </c>
      <c r="BG261" s="91">
        <f t="shared" si="329"/>
        <v>0</v>
      </c>
      <c r="BH261" s="91">
        <f t="shared" si="329"/>
        <v>0</v>
      </c>
      <c r="BI261" s="91">
        <f t="shared" si="329"/>
        <v>952</v>
      </c>
      <c r="BJ261" s="91">
        <f t="shared" si="329"/>
        <v>0</v>
      </c>
      <c r="BK261" s="91">
        <f t="shared" si="329"/>
        <v>0</v>
      </c>
      <c r="BL261" s="91">
        <f t="shared" si="329"/>
        <v>0</v>
      </c>
      <c r="BM261" s="91">
        <f t="shared" si="329"/>
        <v>0</v>
      </c>
      <c r="BN261" s="91">
        <f t="shared" si="329"/>
        <v>0</v>
      </c>
      <c r="BO261" s="91">
        <f t="shared" si="329"/>
        <v>952</v>
      </c>
      <c r="BP261" s="91">
        <f t="shared" si="329"/>
        <v>0</v>
      </c>
      <c r="BQ261" s="91">
        <f t="shared" si="329"/>
        <v>-44</v>
      </c>
      <c r="BR261" s="91"/>
      <c r="BS261" s="91">
        <f t="shared" si="329"/>
        <v>0</v>
      </c>
      <c r="BT261" s="91">
        <f t="shared" si="329"/>
        <v>0</v>
      </c>
      <c r="BU261" s="91">
        <f t="shared" si="329"/>
        <v>908</v>
      </c>
      <c r="BV261" s="91">
        <f>BV262</f>
        <v>0</v>
      </c>
      <c r="BW261" s="91">
        <f t="shared" si="329"/>
        <v>689</v>
      </c>
      <c r="BX261" s="91">
        <f>BX262</f>
        <v>0</v>
      </c>
      <c r="BY261" s="77">
        <f t="shared" si="249"/>
        <v>75.88105726872246</v>
      </c>
      <c r="BZ261" s="72"/>
    </row>
    <row r="262" spans="1:78" s="12" customFormat="1" ht="103.5" customHeight="1" hidden="1">
      <c r="A262" s="88" t="s">
        <v>360</v>
      </c>
      <c r="B262" s="89" t="s">
        <v>136</v>
      </c>
      <c r="C262" s="89" t="s">
        <v>128</v>
      </c>
      <c r="D262" s="90" t="s">
        <v>39</v>
      </c>
      <c r="E262" s="89" t="s">
        <v>153</v>
      </c>
      <c r="F262" s="99">
        <v>12620</v>
      </c>
      <c r="G262" s="75">
        <f>H262-F262</f>
        <v>26104</v>
      </c>
      <c r="H262" s="100">
        <v>38724</v>
      </c>
      <c r="I262" s="160"/>
      <c r="J262" s="160"/>
      <c r="K262" s="160"/>
      <c r="L262" s="160"/>
      <c r="M262" s="75">
        <f>H262+J262+K262+L262</f>
        <v>38724</v>
      </c>
      <c r="N262" s="78">
        <f>I262+L262</f>
        <v>0</v>
      </c>
      <c r="O262" s="160"/>
      <c r="P262" s="160"/>
      <c r="Q262" s="106"/>
      <c r="R262" s="106"/>
      <c r="S262" s="75">
        <f>M262+O262+P262+Q262+R262</f>
        <v>38724</v>
      </c>
      <c r="T262" s="75">
        <f>N262+R262</f>
        <v>0</v>
      </c>
      <c r="U262" s="106"/>
      <c r="V262" s="106"/>
      <c r="W262" s="106"/>
      <c r="X262" s="106"/>
      <c r="Y262" s="106"/>
      <c r="Z262" s="106"/>
      <c r="AA262" s="106"/>
      <c r="AB262" s="75">
        <f>S262+U262+V262+W262+X262+Y262+Z262+AA262</f>
        <v>38724</v>
      </c>
      <c r="AC262" s="75">
        <f>T262+Z262+AA262</f>
        <v>0</v>
      </c>
      <c r="AD262" s="106"/>
      <c r="AE262" s="106"/>
      <c r="AF262" s="75">
        <f>-22208-15016</f>
        <v>-37224</v>
      </c>
      <c r="AG262" s="106"/>
      <c r="AH262" s="106"/>
      <c r="AI262" s="75">
        <f>AB262+AD262+AE262+AF262+AG262+AH262</f>
        <v>1500</v>
      </c>
      <c r="AJ262" s="75">
        <f>AC262+AH262</f>
        <v>0</v>
      </c>
      <c r="AK262" s="106"/>
      <c r="AL262" s="75">
        <f>AI262+AK262</f>
        <v>1500</v>
      </c>
      <c r="AM262" s="75">
        <f>AJ262</f>
        <v>0</v>
      </c>
      <c r="AN262" s="106"/>
      <c r="AO262" s="106"/>
      <c r="AP262" s="106"/>
      <c r="AQ262" s="106"/>
      <c r="AR262" s="75">
        <f>AL262+AN262+AO262+AP262+AQ262</f>
        <v>1500</v>
      </c>
      <c r="AS262" s="75">
        <f>AM262+AQ262</f>
        <v>0</v>
      </c>
      <c r="AT262" s="81">
        <v>-262</v>
      </c>
      <c r="AU262" s="81"/>
      <c r="AV262" s="81"/>
      <c r="AW262" s="76">
        <f>AV262+AU262+AT262+AR262</f>
        <v>1238</v>
      </c>
      <c r="AX262" s="76">
        <f>AV262+AS262</f>
        <v>0</v>
      </c>
      <c r="AY262" s="75">
        <f>-229-57</f>
        <v>-286</v>
      </c>
      <c r="AZ262" s="69"/>
      <c r="BA262" s="69"/>
      <c r="BB262" s="69"/>
      <c r="BC262" s="69"/>
      <c r="BD262" s="75">
        <f>AW262+AY262+AZ262+BA262+BB262+BC262</f>
        <v>952</v>
      </c>
      <c r="BE262" s="75">
        <f>AX262+BC262</f>
        <v>0</v>
      </c>
      <c r="BF262" s="106"/>
      <c r="BG262" s="106"/>
      <c r="BH262" s="106"/>
      <c r="BI262" s="75">
        <f>BD262+BF262+BG262+BH262</f>
        <v>952</v>
      </c>
      <c r="BJ262" s="75">
        <f>BE262+BH262</f>
        <v>0</v>
      </c>
      <c r="BK262" s="109"/>
      <c r="BL262" s="109"/>
      <c r="BM262" s="109"/>
      <c r="BN262" s="109"/>
      <c r="BO262" s="75">
        <f>BI262+BK262+BL262+BM262+BN262</f>
        <v>952</v>
      </c>
      <c r="BP262" s="75">
        <f>BJ262+BN262</f>
        <v>0</v>
      </c>
      <c r="BQ262" s="78">
        <v>-44</v>
      </c>
      <c r="BR262" s="78"/>
      <c r="BS262" s="106"/>
      <c r="BT262" s="106"/>
      <c r="BU262" s="75">
        <f>BO262+BQ262+BS262+BT262</f>
        <v>908</v>
      </c>
      <c r="BV262" s="75">
        <f>BP262+BT262</f>
        <v>0</v>
      </c>
      <c r="BW262" s="75">
        <v>689</v>
      </c>
      <c r="BX262" s="75">
        <f>BR262+BV262</f>
        <v>0</v>
      </c>
      <c r="BY262" s="77">
        <f t="shared" si="249"/>
        <v>75.88105726872246</v>
      </c>
      <c r="BZ262" s="72"/>
    </row>
    <row r="263" spans="1:78" s="12" customFormat="1" ht="44.25" customHeight="1" hidden="1">
      <c r="A263" s="88" t="s">
        <v>64</v>
      </c>
      <c r="B263" s="89" t="s">
        <v>136</v>
      </c>
      <c r="C263" s="89" t="s">
        <v>128</v>
      </c>
      <c r="D263" s="90" t="s">
        <v>65</v>
      </c>
      <c r="E263" s="89"/>
      <c r="F263" s="91">
        <f>F264</f>
        <v>540409</v>
      </c>
      <c r="G263" s="91">
        <f>G264</f>
        <v>57133</v>
      </c>
      <c r="H263" s="91">
        <f>H264</f>
        <v>597542</v>
      </c>
      <c r="I263" s="91">
        <f aca="true" t="shared" si="330" ref="I263:BW263">I264</f>
        <v>0</v>
      </c>
      <c r="J263" s="91">
        <f t="shared" si="330"/>
        <v>-119779</v>
      </c>
      <c r="K263" s="91">
        <f t="shared" si="330"/>
        <v>0</v>
      </c>
      <c r="L263" s="91">
        <f t="shared" si="330"/>
        <v>0</v>
      </c>
      <c r="M263" s="91">
        <f t="shared" si="330"/>
        <v>477763</v>
      </c>
      <c r="N263" s="91">
        <f t="shared" si="330"/>
        <v>0</v>
      </c>
      <c r="O263" s="91">
        <f t="shared" si="330"/>
        <v>0</v>
      </c>
      <c r="P263" s="91">
        <f t="shared" si="330"/>
        <v>0</v>
      </c>
      <c r="Q263" s="91">
        <f t="shared" si="330"/>
        <v>0</v>
      </c>
      <c r="R263" s="91">
        <f t="shared" si="330"/>
        <v>0</v>
      </c>
      <c r="S263" s="91">
        <f t="shared" si="330"/>
        <v>477763</v>
      </c>
      <c r="T263" s="91">
        <f t="shared" si="330"/>
        <v>0</v>
      </c>
      <c r="U263" s="91">
        <f t="shared" si="330"/>
        <v>0</v>
      </c>
      <c r="V263" s="91">
        <f t="shared" si="330"/>
        <v>0</v>
      </c>
      <c r="W263" s="91">
        <f t="shared" si="330"/>
        <v>0</v>
      </c>
      <c r="X263" s="91">
        <f t="shared" si="330"/>
        <v>0</v>
      </c>
      <c r="Y263" s="91">
        <f t="shared" si="330"/>
        <v>0</v>
      </c>
      <c r="Z263" s="91">
        <f t="shared" si="330"/>
        <v>0</v>
      </c>
      <c r="AA263" s="91">
        <f t="shared" si="330"/>
        <v>0</v>
      </c>
      <c r="AB263" s="91">
        <f t="shared" si="330"/>
        <v>477763</v>
      </c>
      <c r="AC263" s="91">
        <f t="shared" si="330"/>
        <v>0</v>
      </c>
      <c r="AD263" s="91">
        <f t="shared" si="330"/>
        <v>33</v>
      </c>
      <c r="AE263" s="91">
        <f t="shared" si="330"/>
        <v>23559</v>
      </c>
      <c r="AF263" s="91">
        <f t="shared" si="330"/>
        <v>-24170</v>
      </c>
      <c r="AG263" s="91">
        <f t="shared" si="330"/>
        <v>0</v>
      </c>
      <c r="AH263" s="91">
        <f t="shared" si="330"/>
        <v>0</v>
      </c>
      <c r="AI263" s="91">
        <f t="shared" si="330"/>
        <v>477185</v>
      </c>
      <c r="AJ263" s="91">
        <f t="shared" si="330"/>
        <v>0</v>
      </c>
      <c r="AK263" s="91">
        <f t="shared" si="330"/>
        <v>0</v>
      </c>
      <c r="AL263" s="91">
        <f t="shared" si="330"/>
        <v>477185</v>
      </c>
      <c r="AM263" s="91">
        <f t="shared" si="330"/>
        <v>0</v>
      </c>
      <c r="AN263" s="91">
        <f t="shared" si="330"/>
        <v>560</v>
      </c>
      <c r="AO263" s="91">
        <f t="shared" si="330"/>
        <v>20372</v>
      </c>
      <c r="AP263" s="91">
        <f t="shared" si="330"/>
        <v>15</v>
      </c>
      <c r="AQ263" s="91">
        <f t="shared" si="330"/>
        <v>0</v>
      </c>
      <c r="AR263" s="91">
        <f t="shared" si="330"/>
        <v>498132</v>
      </c>
      <c r="AS263" s="91">
        <f t="shared" si="330"/>
        <v>0</v>
      </c>
      <c r="AT263" s="92">
        <f>AT264</f>
        <v>1828</v>
      </c>
      <c r="AU263" s="92">
        <f>AU264</f>
        <v>-79</v>
      </c>
      <c r="AV263" s="92">
        <f t="shared" si="330"/>
        <v>0</v>
      </c>
      <c r="AW263" s="92">
        <f t="shared" si="330"/>
        <v>499881</v>
      </c>
      <c r="AX263" s="92">
        <f t="shared" si="330"/>
        <v>0</v>
      </c>
      <c r="AY263" s="91">
        <f t="shared" si="330"/>
        <v>-13813</v>
      </c>
      <c r="AZ263" s="91">
        <f t="shared" si="330"/>
        <v>-526</v>
      </c>
      <c r="BA263" s="91">
        <f t="shared" si="330"/>
        <v>0</v>
      </c>
      <c r="BB263" s="91">
        <f t="shared" si="330"/>
        <v>34000</v>
      </c>
      <c r="BC263" s="91">
        <f t="shared" si="330"/>
        <v>0</v>
      </c>
      <c r="BD263" s="91">
        <f t="shared" si="330"/>
        <v>519542</v>
      </c>
      <c r="BE263" s="91">
        <f t="shared" si="330"/>
        <v>0</v>
      </c>
      <c r="BF263" s="91">
        <f t="shared" si="330"/>
        <v>0</v>
      </c>
      <c r="BG263" s="91">
        <f t="shared" si="330"/>
        <v>0</v>
      </c>
      <c r="BH263" s="91">
        <f t="shared" si="330"/>
        <v>0</v>
      </c>
      <c r="BI263" s="91">
        <f t="shared" si="330"/>
        <v>519542</v>
      </c>
      <c r="BJ263" s="91">
        <f t="shared" si="330"/>
        <v>0</v>
      </c>
      <c r="BK263" s="91">
        <f t="shared" si="330"/>
        <v>4418</v>
      </c>
      <c r="BL263" s="91">
        <f t="shared" si="330"/>
        <v>3</v>
      </c>
      <c r="BM263" s="91">
        <f t="shared" si="330"/>
        <v>0</v>
      </c>
      <c r="BN263" s="91">
        <f t="shared" si="330"/>
        <v>0</v>
      </c>
      <c r="BO263" s="91">
        <f t="shared" si="330"/>
        <v>523963</v>
      </c>
      <c r="BP263" s="91">
        <f t="shared" si="330"/>
        <v>0</v>
      </c>
      <c r="BQ263" s="91">
        <f t="shared" si="330"/>
        <v>-2656</v>
      </c>
      <c r="BR263" s="91"/>
      <c r="BS263" s="91">
        <f t="shared" si="330"/>
        <v>0</v>
      </c>
      <c r="BT263" s="91">
        <f t="shared" si="330"/>
        <v>0</v>
      </c>
      <c r="BU263" s="91">
        <f t="shared" si="330"/>
        <v>521307</v>
      </c>
      <c r="BV263" s="91">
        <f>BV264</f>
        <v>0</v>
      </c>
      <c r="BW263" s="91">
        <f t="shared" si="330"/>
        <v>491891</v>
      </c>
      <c r="BX263" s="91">
        <f>BX264</f>
        <v>0</v>
      </c>
      <c r="BY263" s="77">
        <f t="shared" si="249"/>
        <v>94.35725973370778</v>
      </c>
      <c r="BZ263" s="72"/>
    </row>
    <row r="264" spans="1:78" s="12" customFormat="1" ht="33.75" hidden="1">
      <c r="A264" s="88" t="s">
        <v>129</v>
      </c>
      <c r="B264" s="89" t="s">
        <v>136</v>
      </c>
      <c r="C264" s="89" t="s">
        <v>128</v>
      </c>
      <c r="D264" s="90" t="s">
        <v>65</v>
      </c>
      <c r="E264" s="89" t="s">
        <v>130</v>
      </c>
      <c r="F264" s="99">
        <v>540409</v>
      </c>
      <c r="G264" s="75">
        <f>H264-F264</f>
        <v>57133</v>
      </c>
      <c r="H264" s="100">
        <f>602192+11413-3000-13063</f>
        <v>597542</v>
      </c>
      <c r="I264" s="160"/>
      <c r="J264" s="100">
        <v>-119779</v>
      </c>
      <c r="K264" s="160"/>
      <c r="L264" s="160"/>
      <c r="M264" s="75">
        <f>H264+J264+K264+L264</f>
        <v>477763</v>
      </c>
      <c r="N264" s="78">
        <f>I264+L264</f>
        <v>0</v>
      </c>
      <c r="O264" s="160"/>
      <c r="P264" s="99"/>
      <c r="Q264" s="75"/>
      <c r="R264" s="106"/>
      <c r="S264" s="75">
        <f>M264+O264+P264+Q264+R264</f>
        <v>477763</v>
      </c>
      <c r="T264" s="75">
        <f>N264+R264</f>
        <v>0</v>
      </c>
      <c r="U264" s="75"/>
      <c r="V264" s="75"/>
      <c r="W264" s="106"/>
      <c r="X264" s="106"/>
      <c r="Y264" s="106"/>
      <c r="Z264" s="106"/>
      <c r="AA264" s="106"/>
      <c r="AB264" s="75">
        <f>S264+U264+V264+W264+X264+Y264+Z264+AA264</f>
        <v>477763</v>
      </c>
      <c r="AC264" s="75">
        <f>T264+Z264+AA264</f>
        <v>0</v>
      </c>
      <c r="AD264" s="75">
        <f>31+2</f>
        <v>33</v>
      </c>
      <c r="AE264" s="75">
        <f>23259+300</f>
        <v>23559</v>
      </c>
      <c r="AF264" s="75">
        <f>-21133-3037</f>
        <v>-24170</v>
      </c>
      <c r="AG264" s="106"/>
      <c r="AH264" s="106"/>
      <c r="AI264" s="75">
        <f>AB264+AD264+AE264+AF264+AG264+AH264</f>
        <v>477185</v>
      </c>
      <c r="AJ264" s="75">
        <f>AC264+AH264</f>
        <v>0</v>
      </c>
      <c r="AK264" s="106"/>
      <c r="AL264" s="75">
        <f>AI264+AK264</f>
        <v>477185</v>
      </c>
      <c r="AM264" s="75">
        <f>AJ264</f>
        <v>0</v>
      </c>
      <c r="AN264" s="78">
        <v>560</v>
      </c>
      <c r="AO264" s="75">
        <f>20095+277</f>
        <v>20372</v>
      </c>
      <c r="AP264" s="75">
        <f>14+1</f>
        <v>15</v>
      </c>
      <c r="AQ264" s="106"/>
      <c r="AR264" s="75">
        <f>AL264+AN264+AO264+AP264+AQ264</f>
        <v>498132</v>
      </c>
      <c r="AS264" s="75">
        <f>AM264+AQ264</f>
        <v>0</v>
      </c>
      <c r="AT264" s="81">
        <v>1828</v>
      </c>
      <c r="AU264" s="81">
        <v>-79</v>
      </c>
      <c r="AV264" s="108"/>
      <c r="AW264" s="76">
        <f>AV264+AU264+AT264+AR264</f>
        <v>499881</v>
      </c>
      <c r="AX264" s="76">
        <f>AV264+AS264</f>
        <v>0</v>
      </c>
      <c r="AY264" s="75">
        <f>-690-13123</f>
        <v>-13813</v>
      </c>
      <c r="AZ264" s="75">
        <v>-526</v>
      </c>
      <c r="BA264" s="75"/>
      <c r="BB264" s="75">
        <v>34000</v>
      </c>
      <c r="BC264" s="69"/>
      <c r="BD264" s="75">
        <f>AW264+AY264+AZ264+BA264+BB264+BC264</f>
        <v>519542</v>
      </c>
      <c r="BE264" s="75">
        <f>AX264+BC264</f>
        <v>0</v>
      </c>
      <c r="BF264" s="106"/>
      <c r="BG264" s="106"/>
      <c r="BH264" s="106"/>
      <c r="BI264" s="75">
        <f>BD264+BF264+BG264+BH264</f>
        <v>519542</v>
      </c>
      <c r="BJ264" s="75">
        <f>BE264+BH264</f>
        <v>0</v>
      </c>
      <c r="BK264" s="75">
        <f>4319+99</f>
        <v>4418</v>
      </c>
      <c r="BL264" s="78">
        <f>2+1</f>
        <v>3</v>
      </c>
      <c r="BM264" s="109"/>
      <c r="BN264" s="109"/>
      <c r="BO264" s="75">
        <f>BI264+BK264+BL264+BM264+BN264</f>
        <v>523963</v>
      </c>
      <c r="BP264" s="75">
        <f>BJ264+BN264</f>
        <v>0</v>
      </c>
      <c r="BQ264" s="75">
        <v>-2656</v>
      </c>
      <c r="BR264" s="75"/>
      <c r="BS264" s="75"/>
      <c r="BT264" s="106"/>
      <c r="BU264" s="75">
        <f>BO264+BQ264+BS264+BT264</f>
        <v>521307</v>
      </c>
      <c r="BV264" s="75">
        <f>BP264+BT264</f>
        <v>0</v>
      </c>
      <c r="BW264" s="75">
        <v>491891</v>
      </c>
      <c r="BX264" s="75">
        <f>BR264+BV264</f>
        <v>0</v>
      </c>
      <c r="BY264" s="77">
        <f t="shared" si="249"/>
        <v>94.35725973370778</v>
      </c>
      <c r="BZ264" s="72"/>
    </row>
    <row r="265" spans="1:78" s="12" customFormat="1" ht="36" customHeight="1" hidden="1">
      <c r="A265" s="88" t="s">
        <v>66</v>
      </c>
      <c r="B265" s="89" t="s">
        <v>136</v>
      </c>
      <c r="C265" s="89" t="s">
        <v>128</v>
      </c>
      <c r="D265" s="90" t="s">
        <v>67</v>
      </c>
      <c r="E265" s="89"/>
      <c r="F265" s="91">
        <f>F266</f>
        <v>424784</v>
      </c>
      <c r="G265" s="91">
        <f>G266</f>
        <v>122875</v>
      </c>
      <c r="H265" s="91">
        <f>H266</f>
        <v>547659</v>
      </c>
      <c r="I265" s="91">
        <f aca="true" t="shared" si="331" ref="I265:BW265">I266</f>
        <v>0</v>
      </c>
      <c r="J265" s="91">
        <f t="shared" si="331"/>
        <v>-23577</v>
      </c>
      <c r="K265" s="91">
        <f t="shared" si="331"/>
        <v>0</v>
      </c>
      <c r="L265" s="91">
        <f t="shared" si="331"/>
        <v>0</v>
      </c>
      <c r="M265" s="91">
        <f t="shared" si="331"/>
        <v>524082</v>
      </c>
      <c r="N265" s="91">
        <f t="shared" si="331"/>
        <v>0</v>
      </c>
      <c r="O265" s="91">
        <f t="shared" si="331"/>
        <v>0</v>
      </c>
      <c r="P265" s="91">
        <f t="shared" si="331"/>
        <v>0</v>
      </c>
      <c r="Q265" s="91">
        <f t="shared" si="331"/>
        <v>0</v>
      </c>
      <c r="R265" s="91">
        <f t="shared" si="331"/>
        <v>0</v>
      </c>
      <c r="S265" s="91">
        <f t="shared" si="331"/>
        <v>524082</v>
      </c>
      <c r="T265" s="91">
        <f t="shared" si="331"/>
        <v>0</v>
      </c>
      <c r="U265" s="91">
        <f t="shared" si="331"/>
        <v>0</v>
      </c>
      <c r="V265" s="91">
        <f t="shared" si="331"/>
        <v>0</v>
      </c>
      <c r="W265" s="91">
        <f t="shared" si="331"/>
        <v>0</v>
      </c>
      <c r="X265" s="91">
        <f t="shared" si="331"/>
        <v>0</v>
      </c>
      <c r="Y265" s="91">
        <f t="shared" si="331"/>
        <v>0</v>
      </c>
      <c r="Z265" s="91">
        <f t="shared" si="331"/>
        <v>0</v>
      </c>
      <c r="AA265" s="91">
        <f t="shared" si="331"/>
        <v>4500</v>
      </c>
      <c r="AB265" s="91">
        <f t="shared" si="331"/>
        <v>528582</v>
      </c>
      <c r="AC265" s="91">
        <f t="shared" si="331"/>
        <v>4500</v>
      </c>
      <c r="AD265" s="91">
        <f t="shared" si="331"/>
        <v>36</v>
      </c>
      <c r="AE265" s="91">
        <f t="shared" si="331"/>
        <v>2342</v>
      </c>
      <c r="AF265" s="91">
        <f t="shared" si="331"/>
        <v>-38511</v>
      </c>
      <c r="AG265" s="91">
        <f t="shared" si="331"/>
        <v>0</v>
      </c>
      <c r="AH265" s="91">
        <f t="shared" si="331"/>
        <v>0</v>
      </c>
      <c r="AI265" s="91">
        <f t="shared" si="331"/>
        <v>492449</v>
      </c>
      <c r="AJ265" s="91">
        <f t="shared" si="331"/>
        <v>4500</v>
      </c>
      <c r="AK265" s="91">
        <f t="shared" si="331"/>
        <v>0</v>
      </c>
      <c r="AL265" s="91">
        <f t="shared" si="331"/>
        <v>492449</v>
      </c>
      <c r="AM265" s="91">
        <f t="shared" si="331"/>
        <v>4500</v>
      </c>
      <c r="AN265" s="91">
        <f t="shared" si="331"/>
        <v>0</v>
      </c>
      <c r="AO265" s="91">
        <f t="shared" si="331"/>
        <v>1332</v>
      </c>
      <c r="AP265" s="91">
        <f t="shared" si="331"/>
        <v>32</v>
      </c>
      <c r="AQ265" s="91">
        <f t="shared" si="331"/>
        <v>5347</v>
      </c>
      <c r="AR265" s="91">
        <f t="shared" si="331"/>
        <v>499160</v>
      </c>
      <c r="AS265" s="91">
        <f t="shared" si="331"/>
        <v>9847</v>
      </c>
      <c r="AT265" s="92">
        <f t="shared" si="331"/>
        <v>313</v>
      </c>
      <c r="AU265" s="92">
        <f t="shared" si="331"/>
        <v>0</v>
      </c>
      <c r="AV265" s="92">
        <f t="shared" si="331"/>
        <v>0</v>
      </c>
      <c r="AW265" s="92">
        <f t="shared" si="331"/>
        <v>499473</v>
      </c>
      <c r="AX265" s="92">
        <f t="shared" si="331"/>
        <v>9847</v>
      </c>
      <c r="AY265" s="91">
        <f t="shared" si="331"/>
        <v>-10685</v>
      </c>
      <c r="AZ265" s="91">
        <f t="shared" si="331"/>
        <v>0</v>
      </c>
      <c r="BA265" s="91">
        <f t="shared" si="331"/>
        <v>0</v>
      </c>
      <c r="BB265" s="91">
        <f t="shared" si="331"/>
        <v>0</v>
      </c>
      <c r="BC265" s="91">
        <f t="shared" si="331"/>
        <v>0</v>
      </c>
      <c r="BD265" s="91">
        <f t="shared" si="331"/>
        <v>488788</v>
      </c>
      <c r="BE265" s="91">
        <f t="shared" si="331"/>
        <v>9847</v>
      </c>
      <c r="BF265" s="91">
        <f t="shared" si="331"/>
        <v>0</v>
      </c>
      <c r="BG265" s="91">
        <f t="shared" si="331"/>
        <v>0</v>
      </c>
      <c r="BH265" s="91">
        <f t="shared" si="331"/>
        <v>0</v>
      </c>
      <c r="BI265" s="91">
        <f t="shared" si="331"/>
        <v>488788</v>
      </c>
      <c r="BJ265" s="91">
        <f t="shared" si="331"/>
        <v>9847</v>
      </c>
      <c r="BK265" s="91">
        <f t="shared" si="331"/>
        <v>602</v>
      </c>
      <c r="BL265" s="91">
        <f t="shared" si="331"/>
        <v>8</v>
      </c>
      <c r="BM265" s="91">
        <f t="shared" si="331"/>
        <v>3582</v>
      </c>
      <c r="BN265" s="91">
        <f t="shared" si="331"/>
        <v>0</v>
      </c>
      <c r="BO265" s="91">
        <f t="shared" si="331"/>
        <v>492980</v>
      </c>
      <c r="BP265" s="91">
        <f t="shared" si="331"/>
        <v>9847</v>
      </c>
      <c r="BQ265" s="91">
        <f t="shared" si="331"/>
        <v>-188</v>
      </c>
      <c r="BR265" s="91"/>
      <c r="BS265" s="91">
        <f t="shared" si="331"/>
        <v>0</v>
      </c>
      <c r="BT265" s="91">
        <f t="shared" si="331"/>
        <v>0</v>
      </c>
      <c r="BU265" s="91">
        <f t="shared" si="331"/>
        <v>492792</v>
      </c>
      <c r="BV265" s="91">
        <f>BV266</f>
        <v>9847</v>
      </c>
      <c r="BW265" s="91">
        <f t="shared" si="331"/>
        <v>488589</v>
      </c>
      <c r="BX265" s="91">
        <f>BX266</f>
        <v>9248</v>
      </c>
      <c r="BY265" s="77">
        <f t="shared" si="249"/>
        <v>99.14710466078995</v>
      </c>
      <c r="BZ265" s="77">
        <f t="shared" si="249"/>
        <v>93.91692901391286</v>
      </c>
    </row>
    <row r="266" spans="1:78" s="14" customFormat="1" ht="33" hidden="1">
      <c r="A266" s="88" t="s">
        <v>129</v>
      </c>
      <c r="B266" s="89" t="s">
        <v>136</v>
      </c>
      <c r="C266" s="89" t="s">
        <v>128</v>
      </c>
      <c r="D266" s="90" t="s">
        <v>67</v>
      </c>
      <c r="E266" s="89" t="s">
        <v>130</v>
      </c>
      <c r="F266" s="99">
        <v>424784</v>
      </c>
      <c r="G266" s="75">
        <f>H266-F266</f>
        <v>122875</v>
      </c>
      <c r="H266" s="100">
        <f>278964-1484+149438+120741</f>
        <v>547659</v>
      </c>
      <c r="I266" s="100"/>
      <c r="J266" s="100">
        <v>-23577</v>
      </c>
      <c r="K266" s="100"/>
      <c r="L266" s="100"/>
      <c r="M266" s="75">
        <f>H266+J266+K266+L266</f>
        <v>524082</v>
      </c>
      <c r="N266" s="78">
        <f>I266+L266</f>
        <v>0</v>
      </c>
      <c r="O266" s="100"/>
      <c r="P266" s="99"/>
      <c r="Q266" s="75"/>
      <c r="R266" s="79"/>
      <c r="S266" s="75">
        <f>M266+O266+P266+Q266+R266</f>
        <v>524082</v>
      </c>
      <c r="T266" s="75">
        <f>N266+R266</f>
        <v>0</v>
      </c>
      <c r="U266" s="78"/>
      <c r="V266" s="75"/>
      <c r="W266" s="79"/>
      <c r="X266" s="79"/>
      <c r="Y266" s="79"/>
      <c r="Z266" s="79"/>
      <c r="AA266" s="80">
        <v>4500</v>
      </c>
      <c r="AB266" s="75">
        <f>S266+U266+V266+W266+X266+Y266+Z266+AA266</f>
        <v>528582</v>
      </c>
      <c r="AC266" s="75">
        <f>T266+Z266+AA266</f>
        <v>4500</v>
      </c>
      <c r="AD266" s="75">
        <f>3+25+8</f>
        <v>36</v>
      </c>
      <c r="AE266" s="75">
        <f>488+1615+239</f>
        <v>2342</v>
      </c>
      <c r="AF266" s="75">
        <f>-14701-11860-11950</f>
        <v>-38511</v>
      </c>
      <c r="AG266" s="79"/>
      <c r="AH266" s="79"/>
      <c r="AI266" s="75">
        <f>AB266+AD266+AE266+AF266+AG266+AH266</f>
        <v>492449</v>
      </c>
      <c r="AJ266" s="75">
        <f>AC266+AH266</f>
        <v>4500</v>
      </c>
      <c r="AK266" s="79"/>
      <c r="AL266" s="75">
        <f>AI266+AK266</f>
        <v>492449</v>
      </c>
      <c r="AM266" s="75">
        <f>AJ266</f>
        <v>4500</v>
      </c>
      <c r="AN266" s="79"/>
      <c r="AO266" s="75">
        <f>473+672+187</f>
        <v>1332</v>
      </c>
      <c r="AP266" s="78">
        <f>3+25+4</f>
        <v>32</v>
      </c>
      <c r="AQ266" s="75">
        <v>5347</v>
      </c>
      <c r="AR266" s="75">
        <f>AL266+AN266+AO266+AP266+AQ266</f>
        <v>499160</v>
      </c>
      <c r="AS266" s="75">
        <f>AM266+AQ266</f>
        <v>9847</v>
      </c>
      <c r="AT266" s="76">
        <v>313</v>
      </c>
      <c r="AU266" s="76"/>
      <c r="AV266" s="76"/>
      <c r="AW266" s="76">
        <f>AV266+AU266+AT266+AR266</f>
        <v>499473</v>
      </c>
      <c r="AX266" s="76">
        <f>AV266+AS266</f>
        <v>9847</v>
      </c>
      <c r="AY266" s="75">
        <f>-2249-7430-1006</f>
        <v>-10685</v>
      </c>
      <c r="AZ266" s="75"/>
      <c r="BA266" s="75"/>
      <c r="BB266" s="75"/>
      <c r="BC266" s="75"/>
      <c r="BD266" s="75">
        <f>AW266+AY266+AZ266+BA266+BB266+BC266</f>
        <v>488788</v>
      </c>
      <c r="BE266" s="75">
        <f>AX266+BC266</f>
        <v>9847</v>
      </c>
      <c r="BF266" s="79"/>
      <c r="BG266" s="79"/>
      <c r="BH266" s="79"/>
      <c r="BI266" s="75">
        <f>BD266+BF266+BG266+BH266</f>
        <v>488788</v>
      </c>
      <c r="BJ266" s="75">
        <f>BE266+BH266</f>
        <v>9847</v>
      </c>
      <c r="BK266" s="75">
        <f>245+306+51</f>
        <v>602</v>
      </c>
      <c r="BL266" s="78">
        <f>6+2</f>
        <v>8</v>
      </c>
      <c r="BM266" s="75">
        <v>3582</v>
      </c>
      <c r="BN266" s="78"/>
      <c r="BO266" s="75">
        <f>BI266+BK266+BL266+BM266+BN266</f>
        <v>492980</v>
      </c>
      <c r="BP266" s="75">
        <f>BJ266+BN266</f>
        <v>9847</v>
      </c>
      <c r="BQ266" s="78">
        <f>-84-104</f>
        <v>-188</v>
      </c>
      <c r="BR266" s="78"/>
      <c r="BS266" s="79"/>
      <c r="BT266" s="79"/>
      <c r="BU266" s="75">
        <f>BO266+BQ266+BS266+BT266</f>
        <v>492792</v>
      </c>
      <c r="BV266" s="75">
        <f>BP266+BT266</f>
        <v>9847</v>
      </c>
      <c r="BW266" s="75">
        <v>488589</v>
      </c>
      <c r="BX266" s="75">
        <v>9248</v>
      </c>
      <c r="BY266" s="77">
        <f t="shared" si="249"/>
        <v>99.14710466078995</v>
      </c>
      <c r="BZ266" s="77">
        <f t="shared" si="249"/>
        <v>93.91692901391286</v>
      </c>
    </row>
    <row r="267" spans="1:78" s="14" customFormat="1" ht="49.5" hidden="1">
      <c r="A267" s="88" t="s">
        <v>353</v>
      </c>
      <c r="B267" s="89" t="s">
        <v>136</v>
      </c>
      <c r="C267" s="89" t="s">
        <v>128</v>
      </c>
      <c r="D267" s="139" t="s">
        <v>354</v>
      </c>
      <c r="E267" s="89"/>
      <c r="F267" s="99"/>
      <c r="G267" s="75"/>
      <c r="H267" s="100"/>
      <c r="I267" s="100"/>
      <c r="J267" s="100"/>
      <c r="K267" s="100"/>
      <c r="L267" s="100"/>
      <c r="M267" s="75"/>
      <c r="N267" s="78"/>
      <c r="O267" s="100"/>
      <c r="P267" s="99"/>
      <c r="Q267" s="75"/>
      <c r="R267" s="79"/>
      <c r="S267" s="75"/>
      <c r="T267" s="75"/>
      <c r="U267" s="78"/>
      <c r="V267" s="75"/>
      <c r="W267" s="79"/>
      <c r="X267" s="79"/>
      <c r="Y267" s="79"/>
      <c r="Z267" s="79"/>
      <c r="AA267" s="80"/>
      <c r="AB267" s="75"/>
      <c r="AC267" s="75"/>
      <c r="AD267" s="75"/>
      <c r="AE267" s="75"/>
      <c r="AF267" s="75"/>
      <c r="AG267" s="79"/>
      <c r="AH267" s="79"/>
      <c r="AI267" s="75"/>
      <c r="AJ267" s="75"/>
      <c r="AK267" s="79"/>
      <c r="AL267" s="75"/>
      <c r="AM267" s="75"/>
      <c r="AN267" s="79"/>
      <c r="AO267" s="75"/>
      <c r="AP267" s="78"/>
      <c r="AQ267" s="75"/>
      <c r="AR267" s="75"/>
      <c r="AS267" s="75"/>
      <c r="AT267" s="76"/>
      <c r="AU267" s="76"/>
      <c r="AV267" s="76"/>
      <c r="AW267" s="76"/>
      <c r="AX267" s="76"/>
      <c r="AY267" s="75">
        <f>AY268</f>
        <v>0</v>
      </c>
      <c r="AZ267" s="75">
        <f aca="true" t="shared" si="332" ref="AZ267:BX267">AZ268</f>
        <v>0</v>
      </c>
      <c r="BA267" s="75">
        <f t="shared" si="332"/>
        <v>0</v>
      </c>
      <c r="BB267" s="75">
        <f t="shared" si="332"/>
        <v>0</v>
      </c>
      <c r="BC267" s="75">
        <f t="shared" si="332"/>
        <v>48500</v>
      </c>
      <c r="BD267" s="75">
        <f t="shared" si="332"/>
        <v>48500</v>
      </c>
      <c r="BE267" s="75">
        <f t="shared" si="332"/>
        <v>48500</v>
      </c>
      <c r="BF267" s="75">
        <f t="shared" si="332"/>
        <v>0</v>
      </c>
      <c r="BG267" s="75">
        <f t="shared" si="332"/>
        <v>0</v>
      </c>
      <c r="BH267" s="75">
        <f t="shared" si="332"/>
        <v>0</v>
      </c>
      <c r="BI267" s="75">
        <f t="shared" si="332"/>
        <v>48500</v>
      </c>
      <c r="BJ267" s="75">
        <f t="shared" si="332"/>
        <v>48500</v>
      </c>
      <c r="BK267" s="75">
        <f t="shared" si="332"/>
        <v>0</v>
      </c>
      <c r="BL267" s="75">
        <f t="shared" si="332"/>
        <v>0</v>
      </c>
      <c r="BM267" s="75">
        <f t="shared" si="332"/>
        <v>0</v>
      </c>
      <c r="BN267" s="75">
        <f t="shared" si="332"/>
        <v>0</v>
      </c>
      <c r="BO267" s="75">
        <f t="shared" si="332"/>
        <v>48500</v>
      </c>
      <c r="BP267" s="75">
        <f t="shared" si="332"/>
        <v>48500</v>
      </c>
      <c r="BQ267" s="75">
        <f t="shared" si="332"/>
        <v>0</v>
      </c>
      <c r="BR267" s="75"/>
      <c r="BS267" s="75">
        <f t="shared" si="332"/>
        <v>0</v>
      </c>
      <c r="BT267" s="75">
        <f t="shared" si="332"/>
        <v>0</v>
      </c>
      <c r="BU267" s="75">
        <f t="shared" si="332"/>
        <v>48500</v>
      </c>
      <c r="BV267" s="75">
        <f t="shared" si="332"/>
        <v>48500</v>
      </c>
      <c r="BW267" s="75">
        <f t="shared" si="332"/>
        <v>48500</v>
      </c>
      <c r="BX267" s="75">
        <f t="shared" si="332"/>
        <v>48500</v>
      </c>
      <c r="BY267" s="77">
        <f t="shared" si="249"/>
        <v>100</v>
      </c>
      <c r="BZ267" s="77">
        <f t="shared" si="249"/>
        <v>100</v>
      </c>
    </row>
    <row r="268" spans="1:78" s="14" customFormat="1" ht="33" hidden="1">
      <c r="A268" s="88" t="s">
        <v>129</v>
      </c>
      <c r="B268" s="89" t="s">
        <v>136</v>
      </c>
      <c r="C268" s="89" t="s">
        <v>128</v>
      </c>
      <c r="D268" s="139" t="s">
        <v>354</v>
      </c>
      <c r="E268" s="89" t="s">
        <v>130</v>
      </c>
      <c r="F268" s="99"/>
      <c r="G268" s="75"/>
      <c r="H268" s="100"/>
      <c r="I268" s="100"/>
      <c r="J268" s="100"/>
      <c r="K268" s="100"/>
      <c r="L268" s="100"/>
      <c r="M268" s="75"/>
      <c r="N268" s="78"/>
      <c r="O268" s="100"/>
      <c r="P268" s="99"/>
      <c r="Q268" s="75"/>
      <c r="R268" s="79"/>
      <c r="S268" s="75"/>
      <c r="T268" s="75"/>
      <c r="U268" s="78"/>
      <c r="V268" s="75"/>
      <c r="W268" s="79"/>
      <c r="X268" s="79"/>
      <c r="Y268" s="79"/>
      <c r="Z268" s="79"/>
      <c r="AA268" s="80"/>
      <c r="AB268" s="75"/>
      <c r="AC268" s="75"/>
      <c r="AD268" s="75"/>
      <c r="AE268" s="75"/>
      <c r="AF268" s="75"/>
      <c r="AG268" s="79"/>
      <c r="AH268" s="79"/>
      <c r="AI268" s="75"/>
      <c r="AJ268" s="75"/>
      <c r="AK268" s="79"/>
      <c r="AL268" s="75"/>
      <c r="AM268" s="75"/>
      <c r="AN268" s="79"/>
      <c r="AO268" s="75"/>
      <c r="AP268" s="78"/>
      <c r="AQ268" s="75"/>
      <c r="AR268" s="75"/>
      <c r="AS268" s="75"/>
      <c r="AT268" s="76"/>
      <c r="AU268" s="76"/>
      <c r="AV268" s="76"/>
      <c r="AW268" s="76"/>
      <c r="AX268" s="76"/>
      <c r="AY268" s="75"/>
      <c r="AZ268" s="75"/>
      <c r="BA268" s="75"/>
      <c r="BB268" s="75"/>
      <c r="BC268" s="75">
        <v>48500</v>
      </c>
      <c r="BD268" s="75">
        <f>AW268+AY268+AZ268+BA268+BB268+BC268</f>
        <v>48500</v>
      </c>
      <c r="BE268" s="75">
        <f>AX268+BC268</f>
        <v>48500</v>
      </c>
      <c r="BF268" s="79"/>
      <c r="BG268" s="79"/>
      <c r="BH268" s="79"/>
      <c r="BI268" s="75">
        <f>BD268+BF268+BG268+BH268</f>
        <v>48500</v>
      </c>
      <c r="BJ268" s="75">
        <f>BE268+BH268</f>
        <v>48500</v>
      </c>
      <c r="BK268" s="78"/>
      <c r="BL268" s="78"/>
      <c r="BM268" s="78"/>
      <c r="BN268" s="78"/>
      <c r="BO268" s="75">
        <f>BI268+BK268+BL268+BM268+BN268</f>
        <v>48500</v>
      </c>
      <c r="BP268" s="75">
        <f>BJ268+BN268</f>
        <v>48500</v>
      </c>
      <c r="BQ268" s="79"/>
      <c r="BR268" s="79"/>
      <c r="BS268" s="79"/>
      <c r="BT268" s="79"/>
      <c r="BU268" s="75">
        <f>BO268+BQ268+BS268+BT268</f>
        <v>48500</v>
      </c>
      <c r="BV268" s="75">
        <f>BP268+BT268</f>
        <v>48500</v>
      </c>
      <c r="BW268" s="75">
        <v>48500</v>
      </c>
      <c r="BX268" s="75">
        <v>48500</v>
      </c>
      <c r="BY268" s="77">
        <f t="shared" si="249"/>
        <v>100</v>
      </c>
      <c r="BZ268" s="77">
        <f t="shared" si="249"/>
        <v>100</v>
      </c>
    </row>
    <row r="269" spans="1:78" s="14" customFormat="1" ht="14.25" customHeight="1">
      <c r="A269" s="88"/>
      <c r="B269" s="89"/>
      <c r="C269" s="89"/>
      <c r="D269" s="144"/>
      <c r="E269" s="89"/>
      <c r="F269" s="99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79"/>
      <c r="R269" s="79"/>
      <c r="S269" s="75"/>
      <c r="T269" s="75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79"/>
      <c r="AF269" s="75"/>
      <c r="AG269" s="79"/>
      <c r="AH269" s="79"/>
      <c r="AI269" s="79"/>
      <c r="AJ269" s="79"/>
      <c r="AK269" s="79"/>
      <c r="AL269" s="79"/>
      <c r="AM269" s="79"/>
      <c r="AN269" s="79"/>
      <c r="AO269" s="79"/>
      <c r="AP269" s="79"/>
      <c r="AQ269" s="79"/>
      <c r="AR269" s="79"/>
      <c r="AS269" s="79"/>
      <c r="AT269" s="81"/>
      <c r="AU269" s="81"/>
      <c r="AV269" s="81"/>
      <c r="AW269" s="81"/>
      <c r="AX269" s="81"/>
      <c r="AY269" s="75"/>
      <c r="AZ269" s="75"/>
      <c r="BA269" s="75"/>
      <c r="BB269" s="75"/>
      <c r="BC269" s="75"/>
      <c r="BD269" s="78"/>
      <c r="BE269" s="78"/>
      <c r="BF269" s="79"/>
      <c r="BG269" s="79"/>
      <c r="BH269" s="79"/>
      <c r="BI269" s="79"/>
      <c r="BJ269" s="79"/>
      <c r="BK269" s="78"/>
      <c r="BL269" s="78"/>
      <c r="BM269" s="78"/>
      <c r="BN269" s="78"/>
      <c r="BO269" s="78"/>
      <c r="BP269" s="78"/>
      <c r="BQ269" s="79"/>
      <c r="BR269" s="79"/>
      <c r="BS269" s="79"/>
      <c r="BT269" s="79"/>
      <c r="BU269" s="79"/>
      <c r="BV269" s="79"/>
      <c r="BW269" s="79"/>
      <c r="BX269" s="79"/>
      <c r="BY269" s="72"/>
      <c r="BZ269" s="72"/>
    </row>
    <row r="270" spans="1:78" s="14" customFormat="1" ht="56.25">
      <c r="A270" s="66" t="s">
        <v>168</v>
      </c>
      <c r="B270" s="67" t="s">
        <v>136</v>
      </c>
      <c r="C270" s="67" t="s">
        <v>160</v>
      </c>
      <c r="D270" s="85"/>
      <c r="E270" s="67"/>
      <c r="F270" s="69">
        <f aca="true" t="shared" si="333" ref="F270:U271">F271</f>
        <v>4650</v>
      </c>
      <c r="G270" s="69">
        <f t="shared" si="333"/>
        <v>258</v>
      </c>
      <c r="H270" s="69">
        <f t="shared" si="333"/>
        <v>4908</v>
      </c>
      <c r="I270" s="69">
        <f t="shared" si="333"/>
        <v>0</v>
      </c>
      <c r="J270" s="69">
        <f t="shared" si="333"/>
        <v>0</v>
      </c>
      <c r="K270" s="69">
        <f t="shared" si="333"/>
        <v>0</v>
      </c>
      <c r="L270" s="69">
        <f t="shared" si="333"/>
        <v>0</v>
      </c>
      <c r="M270" s="69">
        <f t="shared" si="333"/>
        <v>4908</v>
      </c>
      <c r="N270" s="69">
        <f t="shared" si="333"/>
        <v>0</v>
      </c>
      <c r="O270" s="69">
        <f t="shared" si="333"/>
        <v>283</v>
      </c>
      <c r="P270" s="69">
        <f t="shared" si="333"/>
        <v>0</v>
      </c>
      <c r="Q270" s="69">
        <f t="shared" si="333"/>
        <v>0</v>
      </c>
      <c r="R270" s="69">
        <f t="shared" si="333"/>
        <v>0</v>
      </c>
      <c r="S270" s="69">
        <f t="shared" si="333"/>
        <v>5191</v>
      </c>
      <c r="T270" s="69">
        <f t="shared" si="333"/>
        <v>0</v>
      </c>
      <c r="U270" s="69">
        <f t="shared" si="333"/>
        <v>0</v>
      </c>
      <c r="V270" s="69">
        <f aca="true" t="shared" si="334" ref="T270:AJ271">V271</f>
        <v>0</v>
      </c>
      <c r="W270" s="69">
        <f t="shared" si="334"/>
        <v>0</v>
      </c>
      <c r="X270" s="69">
        <f t="shared" si="334"/>
        <v>0</v>
      </c>
      <c r="Y270" s="69">
        <f t="shared" si="334"/>
        <v>0</v>
      </c>
      <c r="Z270" s="69">
        <f t="shared" si="334"/>
        <v>0</v>
      </c>
      <c r="AA270" s="69">
        <f t="shared" si="334"/>
        <v>0</v>
      </c>
      <c r="AB270" s="69">
        <f t="shared" si="334"/>
        <v>5191</v>
      </c>
      <c r="AC270" s="69">
        <f t="shared" si="334"/>
        <v>0</v>
      </c>
      <c r="AD270" s="69">
        <f t="shared" si="334"/>
        <v>0</v>
      </c>
      <c r="AE270" s="69">
        <f t="shared" si="334"/>
        <v>2</v>
      </c>
      <c r="AF270" s="69">
        <f t="shared" si="334"/>
        <v>0</v>
      </c>
      <c r="AG270" s="69">
        <f t="shared" si="334"/>
        <v>0</v>
      </c>
      <c r="AH270" s="69">
        <f t="shared" si="334"/>
        <v>0</v>
      </c>
      <c r="AI270" s="69">
        <f t="shared" si="334"/>
        <v>5193</v>
      </c>
      <c r="AJ270" s="69">
        <f t="shared" si="334"/>
        <v>0</v>
      </c>
      <c r="AK270" s="69">
        <f>AK271</f>
        <v>0</v>
      </c>
      <c r="AL270" s="69">
        <f>AL271</f>
        <v>5193</v>
      </c>
      <c r="AM270" s="69">
        <f aca="true" t="shared" si="335" ref="AM270:BX270">AM271</f>
        <v>0</v>
      </c>
      <c r="AN270" s="69">
        <f t="shared" si="335"/>
        <v>0</v>
      </c>
      <c r="AO270" s="69">
        <f t="shared" si="335"/>
        <v>-2</v>
      </c>
      <c r="AP270" s="69">
        <f t="shared" si="335"/>
        <v>0</v>
      </c>
      <c r="AQ270" s="69">
        <f t="shared" si="335"/>
        <v>0</v>
      </c>
      <c r="AR270" s="69">
        <f t="shared" si="335"/>
        <v>5191</v>
      </c>
      <c r="AS270" s="69">
        <f t="shared" si="335"/>
        <v>0</v>
      </c>
      <c r="AT270" s="70">
        <f t="shared" si="335"/>
        <v>0</v>
      </c>
      <c r="AU270" s="70">
        <f t="shared" si="335"/>
        <v>0</v>
      </c>
      <c r="AV270" s="70">
        <f t="shared" si="335"/>
        <v>0</v>
      </c>
      <c r="AW270" s="70">
        <f t="shared" si="335"/>
        <v>5191</v>
      </c>
      <c r="AX270" s="70">
        <f t="shared" si="335"/>
        <v>0</v>
      </c>
      <c r="AY270" s="69">
        <f t="shared" si="335"/>
        <v>-116</v>
      </c>
      <c r="AZ270" s="69">
        <f t="shared" si="335"/>
        <v>0</v>
      </c>
      <c r="BA270" s="69">
        <f t="shared" si="335"/>
        <v>0</v>
      </c>
      <c r="BB270" s="69">
        <f t="shared" si="335"/>
        <v>0</v>
      </c>
      <c r="BC270" s="69">
        <f t="shared" si="335"/>
        <v>0</v>
      </c>
      <c r="BD270" s="69">
        <f t="shared" si="335"/>
        <v>5075</v>
      </c>
      <c r="BE270" s="69">
        <f t="shared" si="335"/>
        <v>0</v>
      </c>
      <c r="BF270" s="69">
        <f t="shared" si="335"/>
        <v>0</v>
      </c>
      <c r="BG270" s="69">
        <f t="shared" si="335"/>
        <v>0</v>
      </c>
      <c r="BH270" s="69">
        <f t="shared" si="335"/>
        <v>0</v>
      </c>
      <c r="BI270" s="69">
        <f t="shared" si="335"/>
        <v>5075</v>
      </c>
      <c r="BJ270" s="69">
        <f t="shared" si="335"/>
        <v>0</v>
      </c>
      <c r="BK270" s="69">
        <f t="shared" si="335"/>
        <v>0</v>
      </c>
      <c r="BL270" s="69">
        <f t="shared" si="335"/>
        <v>0</v>
      </c>
      <c r="BM270" s="69">
        <f t="shared" si="335"/>
        <v>0</v>
      </c>
      <c r="BN270" s="69">
        <f t="shared" si="335"/>
        <v>0</v>
      </c>
      <c r="BO270" s="69">
        <f t="shared" si="335"/>
        <v>5075</v>
      </c>
      <c r="BP270" s="69">
        <f t="shared" si="335"/>
        <v>0</v>
      </c>
      <c r="BQ270" s="69">
        <f t="shared" si="335"/>
        <v>0</v>
      </c>
      <c r="BR270" s="69"/>
      <c r="BS270" s="69">
        <f t="shared" si="335"/>
        <v>0</v>
      </c>
      <c r="BT270" s="69">
        <f t="shared" si="335"/>
        <v>0</v>
      </c>
      <c r="BU270" s="69">
        <f t="shared" si="335"/>
        <v>5075</v>
      </c>
      <c r="BV270" s="69">
        <f t="shared" si="335"/>
        <v>0</v>
      </c>
      <c r="BW270" s="69">
        <f t="shared" si="335"/>
        <v>5080</v>
      </c>
      <c r="BX270" s="69">
        <f t="shared" si="335"/>
        <v>0</v>
      </c>
      <c r="BY270" s="71">
        <f t="shared" si="249"/>
        <v>100.09852216748769</v>
      </c>
      <c r="BZ270" s="72"/>
    </row>
    <row r="271" spans="1:78" s="11" customFormat="1" ht="33.75" hidden="1">
      <c r="A271" s="88" t="s">
        <v>68</v>
      </c>
      <c r="B271" s="89" t="s">
        <v>136</v>
      </c>
      <c r="C271" s="89" t="s">
        <v>160</v>
      </c>
      <c r="D271" s="90" t="s">
        <v>69</v>
      </c>
      <c r="E271" s="89"/>
      <c r="F271" s="75">
        <f t="shared" si="333"/>
        <v>4650</v>
      </c>
      <c r="G271" s="75">
        <f t="shared" si="333"/>
        <v>258</v>
      </c>
      <c r="H271" s="75">
        <f t="shared" si="333"/>
        <v>4908</v>
      </c>
      <c r="I271" s="75">
        <f t="shared" si="333"/>
        <v>0</v>
      </c>
      <c r="J271" s="75">
        <f t="shared" si="333"/>
        <v>0</v>
      </c>
      <c r="K271" s="75">
        <f t="shared" si="333"/>
        <v>0</v>
      </c>
      <c r="L271" s="75">
        <f t="shared" si="333"/>
        <v>0</v>
      </c>
      <c r="M271" s="75">
        <f t="shared" si="333"/>
        <v>4908</v>
      </c>
      <c r="N271" s="75">
        <f t="shared" si="333"/>
        <v>0</v>
      </c>
      <c r="O271" s="75">
        <f t="shared" si="333"/>
        <v>283</v>
      </c>
      <c r="P271" s="75"/>
      <c r="Q271" s="75">
        <f t="shared" si="333"/>
        <v>0</v>
      </c>
      <c r="R271" s="75">
        <f t="shared" si="333"/>
        <v>0</v>
      </c>
      <c r="S271" s="75">
        <f t="shared" si="333"/>
        <v>5191</v>
      </c>
      <c r="T271" s="75">
        <f t="shared" si="334"/>
        <v>0</v>
      </c>
      <c r="U271" s="75">
        <f t="shared" si="334"/>
        <v>0</v>
      </c>
      <c r="V271" s="75">
        <f t="shared" si="334"/>
        <v>0</v>
      </c>
      <c r="W271" s="75">
        <f t="shared" si="334"/>
        <v>0</v>
      </c>
      <c r="X271" s="75">
        <f t="shared" si="334"/>
        <v>0</v>
      </c>
      <c r="Y271" s="75">
        <f t="shared" si="334"/>
        <v>0</v>
      </c>
      <c r="Z271" s="75">
        <f t="shared" si="334"/>
        <v>0</v>
      </c>
      <c r="AA271" s="75">
        <f t="shared" si="334"/>
        <v>0</v>
      </c>
      <c r="AB271" s="75">
        <f t="shared" si="334"/>
        <v>5191</v>
      </c>
      <c r="AC271" s="75">
        <f aca="true" t="shared" si="336" ref="AC271:BX271">AC272</f>
        <v>0</v>
      </c>
      <c r="AD271" s="75">
        <f t="shared" si="336"/>
        <v>0</v>
      </c>
      <c r="AE271" s="75">
        <f t="shared" si="336"/>
        <v>2</v>
      </c>
      <c r="AF271" s="75">
        <f t="shared" si="336"/>
        <v>0</v>
      </c>
      <c r="AG271" s="75">
        <f t="shared" si="336"/>
        <v>0</v>
      </c>
      <c r="AH271" s="75">
        <f t="shared" si="336"/>
        <v>0</v>
      </c>
      <c r="AI271" s="75">
        <f t="shared" si="336"/>
        <v>5193</v>
      </c>
      <c r="AJ271" s="75">
        <f t="shared" si="336"/>
        <v>0</v>
      </c>
      <c r="AK271" s="75">
        <f t="shared" si="336"/>
        <v>0</v>
      </c>
      <c r="AL271" s="75">
        <f t="shared" si="336"/>
        <v>5193</v>
      </c>
      <c r="AM271" s="75">
        <f t="shared" si="336"/>
        <v>0</v>
      </c>
      <c r="AN271" s="75">
        <f t="shared" si="336"/>
        <v>0</v>
      </c>
      <c r="AO271" s="75">
        <f t="shared" si="336"/>
        <v>-2</v>
      </c>
      <c r="AP271" s="75">
        <f t="shared" si="336"/>
        <v>0</v>
      </c>
      <c r="AQ271" s="75">
        <f t="shared" si="336"/>
        <v>0</v>
      </c>
      <c r="AR271" s="75">
        <f t="shared" si="336"/>
        <v>5191</v>
      </c>
      <c r="AS271" s="75">
        <f t="shared" si="336"/>
        <v>0</v>
      </c>
      <c r="AT271" s="76">
        <f t="shared" si="336"/>
        <v>0</v>
      </c>
      <c r="AU271" s="76">
        <f t="shared" si="336"/>
        <v>0</v>
      </c>
      <c r="AV271" s="76">
        <f t="shared" si="336"/>
        <v>0</v>
      </c>
      <c r="AW271" s="76">
        <f t="shared" si="336"/>
        <v>5191</v>
      </c>
      <c r="AX271" s="76">
        <f t="shared" si="336"/>
        <v>0</v>
      </c>
      <c r="AY271" s="75">
        <f t="shared" si="336"/>
        <v>-116</v>
      </c>
      <c r="AZ271" s="75">
        <f t="shared" si="336"/>
        <v>0</v>
      </c>
      <c r="BA271" s="75">
        <f t="shared" si="336"/>
        <v>0</v>
      </c>
      <c r="BB271" s="75">
        <f t="shared" si="336"/>
        <v>0</v>
      </c>
      <c r="BC271" s="75">
        <f t="shared" si="336"/>
        <v>0</v>
      </c>
      <c r="BD271" s="75">
        <f t="shared" si="336"/>
        <v>5075</v>
      </c>
      <c r="BE271" s="75">
        <f t="shared" si="336"/>
        <v>0</v>
      </c>
      <c r="BF271" s="75">
        <f t="shared" si="336"/>
        <v>0</v>
      </c>
      <c r="BG271" s="75">
        <f t="shared" si="336"/>
        <v>0</v>
      </c>
      <c r="BH271" s="75">
        <f t="shared" si="336"/>
        <v>0</v>
      </c>
      <c r="BI271" s="75">
        <f t="shared" si="336"/>
        <v>5075</v>
      </c>
      <c r="BJ271" s="75">
        <f t="shared" si="336"/>
        <v>0</v>
      </c>
      <c r="BK271" s="75">
        <f t="shared" si="336"/>
        <v>0</v>
      </c>
      <c r="BL271" s="75">
        <f t="shared" si="336"/>
        <v>0</v>
      </c>
      <c r="BM271" s="75">
        <f t="shared" si="336"/>
        <v>0</v>
      </c>
      <c r="BN271" s="75">
        <f t="shared" si="336"/>
        <v>0</v>
      </c>
      <c r="BO271" s="75">
        <f t="shared" si="336"/>
        <v>5075</v>
      </c>
      <c r="BP271" s="75">
        <f t="shared" si="336"/>
        <v>0</v>
      </c>
      <c r="BQ271" s="75">
        <f t="shared" si="336"/>
        <v>0</v>
      </c>
      <c r="BR271" s="75"/>
      <c r="BS271" s="75">
        <f t="shared" si="336"/>
        <v>0</v>
      </c>
      <c r="BT271" s="75">
        <f t="shared" si="336"/>
        <v>0</v>
      </c>
      <c r="BU271" s="75">
        <f t="shared" si="336"/>
        <v>5075</v>
      </c>
      <c r="BV271" s="75">
        <f t="shared" si="336"/>
        <v>0</v>
      </c>
      <c r="BW271" s="75">
        <f t="shared" si="336"/>
        <v>5080</v>
      </c>
      <c r="BX271" s="75">
        <f t="shared" si="336"/>
        <v>0</v>
      </c>
      <c r="BY271" s="77">
        <f t="shared" si="249"/>
        <v>100.09852216748769</v>
      </c>
      <c r="BZ271" s="72"/>
    </row>
    <row r="272" spans="1:78" s="21" customFormat="1" ht="33.75" hidden="1">
      <c r="A272" s="88" t="s">
        <v>129</v>
      </c>
      <c r="B272" s="89" t="s">
        <v>136</v>
      </c>
      <c r="C272" s="89" t="s">
        <v>160</v>
      </c>
      <c r="D272" s="90" t="s">
        <v>69</v>
      </c>
      <c r="E272" s="89" t="s">
        <v>130</v>
      </c>
      <c r="F272" s="99">
        <v>4650</v>
      </c>
      <c r="G272" s="75">
        <f>H272-F272</f>
        <v>258</v>
      </c>
      <c r="H272" s="100">
        <f>2435+2473</f>
        <v>4908</v>
      </c>
      <c r="I272" s="161"/>
      <c r="J272" s="161"/>
      <c r="K272" s="161"/>
      <c r="L272" s="161"/>
      <c r="M272" s="75">
        <f>H272+J272+K272+L272</f>
        <v>4908</v>
      </c>
      <c r="N272" s="78">
        <f>I272+L272</f>
        <v>0</v>
      </c>
      <c r="O272" s="100">
        <v>283</v>
      </c>
      <c r="P272" s="100"/>
      <c r="Q272" s="78"/>
      <c r="R272" s="134"/>
      <c r="S272" s="75">
        <f>M272+O272+P272+Q272+R272</f>
        <v>5191</v>
      </c>
      <c r="T272" s="75">
        <f>N272+R272</f>
        <v>0</v>
      </c>
      <c r="U272" s="131"/>
      <c r="V272" s="78"/>
      <c r="W272" s="134"/>
      <c r="X272" s="134"/>
      <c r="Y272" s="134"/>
      <c r="Z272" s="134"/>
      <c r="AA272" s="134"/>
      <c r="AB272" s="75">
        <f>S272+U272+V272+W272+X272+Y272+Z272+AA272</f>
        <v>5191</v>
      </c>
      <c r="AC272" s="75">
        <f>T272+Z272+AA272</f>
        <v>0</v>
      </c>
      <c r="AD272" s="134"/>
      <c r="AE272" s="62">
        <f>1+1</f>
        <v>2</v>
      </c>
      <c r="AF272" s="136"/>
      <c r="AG272" s="134"/>
      <c r="AH272" s="134"/>
      <c r="AI272" s="75">
        <f>AB272+AD272+AE272+AF272+AG272+AH272</f>
        <v>5193</v>
      </c>
      <c r="AJ272" s="75">
        <f>AC272+AH272</f>
        <v>0</v>
      </c>
      <c r="AK272" s="134"/>
      <c r="AL272" s="75">
        <f>AI272+AK272</f>
        <v>5193</v>
      </c>
      <c r="AM272" s="75">
        <f>AJ272</f>
        <v>0</v>
      </c>
      <c r="AN272" s="134"/>
      <c r="AO272" s="78">
        <f>-1-1</f>
        <v>-2</v>
      </c>
      <c r="AP272" s="134"/>
      <c r="AQ272" s="134"/>
      <c r="AR272" s="75">
        <f>AL272+AN272+AO272+AP272+AQ272</f>
        <v>5191</v>
      </c>
      <c r="AS272" s="75">
        <f>AM272+AQ272</f>
        <v>0</v>
      </c>
      <c r="AT272" s="140"/>
      <c r="AU272" s="140"/>
      <c r="AV272" s="140"/>
      <c r="AW272" s="76">
        <f>AV272+AU272+AT272+AR272</f>
        <v>5191</v>
      </c>
      <c r="AX272" s="76">
        <f>AV272+AS272</f>
        <v>0</v>
      </c>
      <c r="AY272" s="75">
        <f>-43-73</f>
        <v>-116</v>
      </c>
      <c r="AZ272" s="136"/>
      <c r="BA272" s="136"/>
      <c r="BB272" s="136"/>
      <c r="BC272" s="136"/>
      <c r="BD272" s="75">
        <f>AW272+AY272+AZ272+BA272+BB272+BC272</f>
        <v>5075</v>
      </c>
      <c r="BE272" s="75">
        <f>AX272+BC272</f>
        <v>0</v>
      </c>
      <c r="BF272" s="134"/>
      <c r="BG272" s="134"/>
      <c r="BH272" s="134"/>
      <c r="BI272" s="75">
        <f>BD272+BF272+BG272+BH272</f>
        <v>5075</v>
      </c>
      <c r="BJ272" s="75">
        <f>BE272+BH272</f>
        <v>0</v>
      </c>
      <c r="BK272" s="137"/>
      <c r="BL272" s="137"/>
      <c r="BM272" s="137"/>
      <c r="BN272" s="137"/>
      <c r="BO272" s="75">
        <f>BI272+BK272+BL272+BM272+BN272</f>
        <v>5075</v>
      </c>
      <c r="BP272" s="75">
        <f>BJ272+BN272</f>
        <v>0</v>
      </c>
      <c r="BQ272" s="134"/>
      <c r="BR272" s="134"/>
      <c r="BS272" s="134"/>
      <c r="BT272" s="134"/>
      <c r="BU272" s="75">
        <f>BO272+BQ272+BS272+BT272</f>
        <v>5075</v>
      </c>
      <c r="BV272" s="75">
        <f>BP272+BT272</f>
        <v>0</v>
      </c>
      <c r="BW272" s="75">
        <v>5080</v>
      </c>
      <c r="BX272" s="75">
        <f>BR272+BV272</f>
        <v>0</v>
      </c>
      <c r="BY272" s="77">
        <f t="shared" si="249"/>
        <v>100.09852216748769</v>
      </c>
      <c r="BZ272" s="72"/>
    </row>
    <row r="273" spans="1:78" s="21" customFormat="1" ht="15" customHeight="1">
      <c r="A273" s="88"/>
      <c r="B273" s="89"/>
      <c r="C273" s="89"/>
      <c r="D273" s="90"/>
      <c r="E273" s="89"/>
      <c r="F273" s="162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34"/>
      <c r="R273" s="134"/>
      <c r="S273" s="136"/>
      <c r="T273" s="136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6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40"/>
      <c r="AU273" s="140"/>
      <c r="AV273" s="140"/>
      <c r="AW273" s="140"/>
      <c r="AX273" s="140"/>
      <c r="AY273" s="136"/>
      <c r="AZ273" s="136"/>
      <c r="BA273" s="136"/>
      <c r="BB273" s="136"/>
      <c r="BC273" s="136"/>
      <c r="BD273" s="137"/>
      <c r="BE273" s="137"/>
      <c r="BF273" s="134"/>
      <c r="BG273" s="134"/>
      <c r="BH273" s="134"/>
      <c r="BI273" s="134"/>
      <c r="BJ273" s="134"/>
      <c r="BK273" s="137"/>
      <c r="BL273" s="137"/>
      <c r="BM273" s="137"/>
      <c r="BN273" s="137"/>
      <c r="BO273" s="137"/>
      <c r="BP273" s="137"/>
      <c r="BQ273" s="134"/>
      <c r="BR273" s="134"/>
      <c r="BS273" s="134"/>
      <c r="BT273" s="134"/>
      <c r="BU273" s="134"/>
      <c r="BV273" s="134"/>
      <c r="BW273" s="134"/>
      <c r="BX273" s="134"/>
      <c r="BY273" s="72"/>
      <c r="BZ273" s="72"/>
    </row>
    <row r="274" spans="1:78" s="21" customFormat="1" ht="37.5">
      <c r="A274" s="66" t="s">
        <v>170</v>
      </c>
      <c r="B274" s="67" t="s">
        <v>136</v>
      </c>
      <c r="C274" s="67" t="s">
        <v>151</v>
      </c>
      <c r="D274" s="85"/>
      <c r="E274" s="67"/>
      <c r="F274" s="86">
        <f aca="true" t="shared" si="337" ref="F274:U275">F275</f>
        <v>40611</v>
      </c>
      <c r="G274" s="86">
        <f t="shared" si="337"/>
        <v>2804</v>
      </c>
      <c r="H274" s="86">
        <f t="shared" si="337"/>
        <v>43415</v>
      </c>
      <c r="I274" s="86">
        <f t="shared" si="337"/>
        <v>0</v>
      </c>
      <c r="J274" s="86">
        <f t="shared" si="337"/>
        <v>0</v>
      </c>
      <c r="K274" s="86">
        <f t="shared" si="337"/>
        <v>0</v>
      </c>
      <c r="L274" s="86">
        <f t="shared" si="337"/>
        <v>0</v>
      </c>
      <c r="M274" s="86">
        <f t="shared" si="337"/>
        <v>43415</v>
      </c>
      <c r="N274" s="86">
        <f t="shared" si="337"/>
        <v>0</v>
      </c>
      <c r="O274" s="86">
        <f t="shared" si="337"/>
        <v>0</v>
      </c>
      <c r="P274" s="86">
        <f t="shared" si="337"/>
        <v>0</v>
      </c>
      <c r="Q274" s="86">
        <f t="shared" si="337"/>
        <v>0</v>
      </c>
      <c r="R274" s="86">
        <f t="shared" si="337"/>
        <v>0</v>
      </c>
      <c r="S274" s="86">
        <f t="shared" si="337"/>
        <v>43415</v>
      </c>
      <c r="T274" s="86">
        <f t="shared" si="337"/>
        <v>0</v>
      </c>
      <c r="U274" s="86">
        <f t="shared" si="337"/>
        <v>0</v>
      </c>
      <c r="V274" s="86">
        <f aca="true" t="shared" si="338" ref="T274:AJ275">V275</f>
        <v>0</v>
      </c>
      <c r="W274" s="86">
        <f t="shared" si="338"/>
        <v>0</v>
      </c>
      <c r="X274" s="86">
        <f t="shared" si="338"/>
        <v>0</v>
      </c>
      <c r="Y274" s="86">
        <f t="shared" si="338"/>
        <v>0</v>
      </c>
      <c r="Z274" s="86">
        <f t="shared" si="338"/>
        <v>0</v>
      </c>
      <c r="AA274" s="86">
        <f t="shared" si="338"/>
        <v>0</v>
      </c>
      <c r="AB274" s="86">
        <f t="shared" si="338"/>
        <v>43415</v>
      </c>
      <c r="AC274" s="86">
        <f t="shared" si="338"/>
        <v>0</v>
      </c>
      <c r="AD274" s="86">
        <f t="shared" si="338"/>
        <v>1</v>
      </c>
      <c r="AE274" s="86">
        <f t="shared" si="338"/>
        <v>41</v>
      </c>
      <c r="AF274" s="86">
        <f t="shared" si="338"/>
        <v>-3060</v>
      </c>
      <c r="AG274" s="86">
        <f t="shared" si="338"/>
        <v>0</v>
      </c>
      <c r="AH274" s="86">
        <f t="shared" si="338"/>
        <v>0</v>
      </c>
      <c r="AI274" s="86">
        <f t="shared" si="338"/>
        <v>40397</v>
      </c>
      <c r="AJ274" s="86">
        <f t="shared" si="338"/>
        <v>0</v>
      </c>
      <c r="AK274" s="86">
        <f>AK275</f>
        <v>0</v>
      </c>
      <c r="AL274" s="86">
        <f>AL275</f>
        <v>40397</v>
      </c>
      <c r="AM274" s="86">
        <f aca="true" t="shared" si="339" ref="AM274:BX274">AM275</f>
        <v>0</v>
      </c>
      <c r="AN274" s="86">
        <f t="shared" si="339"/>
        <v>0</v>
      </c>
      <c r="AO274" s="86">
        <f t="shared" si="339"/>
        <v>40</v>
      </c>
      <c r="AP274" s="86">
        <f t="shared" si="339"/>
        <v>1</v>
      </c>
      <c r="AQ274" s="86">
        <f t="shared" si="339"/>
        <v>0</v>
      </c>
      <c r="AR274" s="86">
        <f t="shared" si="339"/>
        <v>40438</v>
      </c>
      <c r="AS274" s="86">
        <f t="shared" si="339"/>
        <v>0</v>
      </c>
      <c r="AT274" s="87">
        <f t="shared" si="339"/>
        <v>0</v>
      </c>
      <c r="AU274" s="87">
        <f t="shared" si="339"/>
        <v>0</v>
      </c>
      <c r="AV274" s="87">
        <f t="shared" si="339"/>
        <v>0</v>
      </c>
      <c r="AW274" s="87">
        <f t="shared" si="339"/>
        <v>40438</v>
      </c>
      <c r="AX274" s="87">
        <f t="shared" si="339"/>
        <v>0</v>
      </c>
      <c r="AY274" s="86">
        <f t="shared" si="339"/>
        <v>-500</v>
      </c>
      <c r="AZ274" s="86">
        <f t="shared" si="339"/>
        <v>0</v>
      </c>
      <c r="BA274" s="86">
        <f t="shared" si="339"/>
        <v>0</v>
      </c>
      <c r="BB274" s="86">
        <f t="shared" si="339"/>
        <v>0</v>
      </c>
      <c r="BC274" s="86">
        <f t="shared" si="339"/>
        <v>0</v>
      </c>
      <c r="BD274" s="86">
        <f t="shared" si="339"/>
        <v>39938</v>
      </c>
      <c r="BE274" s="86">
        <f t="shared" si="339"/>
        <v>0</v>
      </c>
      <c r="BF274" s="86">
        <f t="shared" si="339"/>
        <v>0</v>
      </c>
      <c r="BG274" s="86">
        <f t="shared" si="339"/>
        <v>0</v>
      </c>
      <c r="BH274" s="86">
        <f t="shared" si="339"/>
        <v>0</v>
      </c>
      <c r="BI274" s="86">
        <f t="shared" si="339"/>
        <v>39938</v>
      </c>
      <c r="BJ274" s="86">
        <f t="shared" si="339"/>
        <v>0</v>
      </c>
      <c r="BK274" s="86">
        <f t="shared" si="339"/>
        <v>0</v>
      </c>
      <c r="BL274" s="86">
        <f t="shared" si="339"/>
        <v>0</v>
      </c>
      <c r="BM274" s="86">
        <f t="shared" si="339"/>
        <v>0</v>
      </c>
      <c r="BN274" s="86">
        <f t="shared" si="339"/>
        <v>0</v>
      </c>
      <c r="BO274" s="86">
        <f t="shared" si="339"/>
        <v>39938</v>
      </c>
      <c r="BP274" s="86">
        <f t="shared" si="339"/>
        <v>0</v>
      </c>
      <c r="BQ274" s="86">
        <f t="shared" si="339"/>
        <v>0</v>
      </c>
      <c r="BR274" s="86"/>
      <c r="BS274" s="86">
        <f t="shared" si="339"/>
        <v>0</v>
      </c>
      <c r="BT274" s="86">
        <f t="shared" si="339"/>
        <v>0</v>
      </c>
      <c r="BU274" s="86">
        <f t="shared" si="339"/>
        <v>39938</v>
      </c>
      <c r="BV274" s="86">
        <f t="shared" si="339"/>
        <v>0</v>
      </c>
      <c r="BW274" s="86">
        <f t="shared" si="339"/>
        <v>39203</v>
      </c>
      <c r="BX274" s="86">
        <f t="shared" si="339"/>
        <v>0</v>
      </c>
      <c r="BY274" s="71">
        <f t="shared" si="249"/>
        <v>98.159647453553</v>
      </c>
      <c r="BZ274" s="72"/>
    </row>
    <row r="275" spans="1:78" s="21" customFormat="1" ht="20.25" hidden="1">
      <c r="A275" s="88" t="s">
        <v>70</v>
      </c>
      <c r="B275" s="89" t="s">
        <v>136</v>
      </c>
      <c r="C275" s="89" t="s">
        <v>151</v>
      </c>
      <c r="D275" s="90" t="s">
        <v>71</v>
      </c>
      <c r="E275" s="89"/>
      <c r="F275" s="91">
        <f t="shared" si="337"/>
        <v>40611</v>
      </c>
      <c r="G275" s="91">
        <f t="shared" si="337"/>
        <v>2804</v>
      </c>
      <c r="H275" s="91">
        <f t="shared" si="337"/>
        <v>43415</v>
      </c>
      <c r="I275" s="91">
        <f t="shared" si="337"/>
        <v>0</v>
      </c>
      <c r="J275" s="91">
        <f t="shared" si="337"/>
        <v>0</v>
      </c>
      <c r="K275" s="91">
        <f t="shared" si="337"/>
        <v>0</v>
      </c>
      <c r="L275" s="91">
        <f t="shared" si="337"/>
        <v>0</v>
      </c>
      <c r="M275" s="91">
        <f t="shared" si="337"/>
        <v>43415</v>
      </c>
      <c r="N275" s="91">
        <f t="shared" si="337"/>
        <v>0</v>
      </c>
      <c r="O275" s="91">
        <f t="shared" si="337"/>
        <v>0</v>
      </c>
      <c r="P275" s="91">
        <f t="shared" si="337"/>
        <v>0</v>
      </c>
      <c r="Q275" s="91">
        <f t="shared" si="337"/>
        <v>0</v>
      </c>
      <c r="R275" s="91">
        <f t="shared" si="337"/>
        <v>0</v>
      </c>
      <c r="S275" s="91">
        <f t="shared" si="337"/>
        <v>43415</v>
      </c>
      <c r="T275" s="91">
        <f t="shared" si="338"/>
        <v>0</v>
      </c>
      <c r="U275" s="91">
        <f t="shared" si="338"/>
        <v>0</v>
      </c>
      <c r="V275" s="91">
        <f t="shared" si="338"/>
        <v>0</v>
      </c>
      <c r="W275" s="91">
        <f t="shared" si="338"/>
        <v>0</v>
      </c>
      <c r="X275" s="91">
        <f t="shared" si="338"/>
        <v>0</v>
      </c>
      <c r="Y275" s="91">
        <f t="shared" si="338"/>
        <v>0</v>
      </c>
      <c r="Z275" s="91">
        <f t="shared" si="338"/>
        <v>0</v>
      </c>
      <c r="AA275" s="91">
        <f t="shared" si="338"/>
        <v>0</v>
      </c>
      <c r="AB275" s="91">
        <f t="shared" si="338"/>
        <v>43415</v>
      </c>
      <c r="AC275" s="91">
        <f aca="true" t="shared" si="340" ref="AC275:BX275">AC276</f>
        <v>0</v>
      </c>
      <c r="AD275" s="91">
        <f t="shared" si="340"/>
        <v>1</v>
      </c>
      <c r="AE275" s="91">
        <f t="shared" si="340"/>
        <v>41</v>
      </c>
      <c r="AF275" s="91">
        <f t="shared" si="340"/>
        <v>-3060</v>
      </c>
      <c r="AG275" s="91">
        <f t="shared" si="340"/>
        <v>0</v>
      </c>
      <c r="AH275" s="91">
        <f t="shared" si="340"/>
        <v>0</v>
      </c>
      <c r="AI275" s="91">
        <f t="shared" si="340"/>
        <v>40397</v>
      </c>
      <c r="AJ275" s="91">
        <f t="shared" si="340"/>
        <v>0</v>
      </c>
      <c r="AK275" s="91">
        <f t="shared" si="340"/>
        <v>0</v>
      </c>
      <c r="AL275" s="91">
        <f t="shared" si="340"/>
        <v>40397</v>
      </c>
      <c r="AM275" s="91">
        <f t="shared" si="340"/>
        <v>0</v>
      </c>
      <c r="AN275" s="91">
        <f t="shared" si="340"/>
        <v>0</v>
      </c>
      <c r="AO275" s="91">
        <f t="shared" si="340"/>
        <v>40</v>
      </c>
      <c r="AP275" s="91">
        <f t="shared" si="340"/>
        <v>1</v>
      </c>
      <c r="AQ275" s="91">
        <f t="shared" si="340"/>
        <v>0</v>
      </c>
      <c r="AR275" s="91">
        <f t="shared" si="340"/>
        <v>40438</v>
      </c>
      <c r="AS275" s="91">
        <f t="shared" si="340"/>
        <v>0</v>
      </c>
      <c r="AT275" s="92">
        <f t="shared" si="340"/>
        <v>0</v>
      </c>
      <c r="AU275" s="92">
        <f t="shared" si="340"/>
        <v>0</v>
      </c>
      <c r="AV275" s="92">
        <f t="shared" si="340"/>
        <v>0</v>
      </c>
      <c r="AW275" s="92">
        <f t="shared" si="340"/>
        <v>40438</v>
      </c>
      <c r="AX275" s="92">
        <f t="shared" si="340"/>
        <v>0</v>
      </c>
      <c r="AY275" s="91">
        <f t="shared" si="340"/>
        <v>-500</v>
      </c>
      <c r="AZ275" s="91">
        <f t="shared" si="340"/>
        <v>0</v>
      </c>
      <c r="BA275" s="91">
        <f t="shared" si="340"/>
        <v>0</v>
      </c>
      <c r="BB275" s="91">
        <f t="shared" si="340"/>
        <v>0</v>
      </c>
      <c r="BC275" s="91">
        <f t="shared" si="340"/>
        <v>0</v>
      </c>
      <c r="BD275" s="91">
        <f t="shared" si="340"/>
        <v>39938</v>
      </c>
      <c r="BE275" s="91">
        <f t="shared" si="340"/>
        <v>0</v>
      </c>
      <c r="BF275" s="91">
        <f t="shared" si="340"/>
        <v>0</v>
      </c>
      <c r="BG275" s="91">
        <f t="shared" si="340"/>
        <v>0</v>
      </c>
      <c r="BH275" s="91">
        <f t="shared" si="340"/>
        <v>0</v>
      </c>
      <c r="BI275" s="91">
        <f t="shared" si="340"/>
        <v>39938</v>
      </c>
      <c r="BJ275" s="91">
        <f t="shared" si="340"/>
        <v>0</v>
      </c>
      <c r="BK275" s="91">
        <f t="shared" si="340"/>
        <v>0</v>
      </c>
      <c r="BL275" s="91">
        <f t="shared" si="340"/>
        <v>0</v>
      </c>
      <c r="BM275" s="91">
        <f t="shared" si="340"/>
        <v>0</v>
      </c>
      <c r="BN275" s="91">
        <f t="shared" si="340"/>
        <v>0</v>
      </c>
      <c r="BO275" s="91">
        <f t="shared" si="340"/>
        <v>39938</v>
      </c>
      <c r="BP275" s="91">
        <f t="shared" si="340"/>
        <v>0</v>
      </c>
      <c r="BQ275" s="91">
        <f t="shared" si="340"/>
        <v>0</v>
      </c>
      <c r="BR275" s="91"/>
      <c r="BS275" s="91">
        <f t="shared" si="340"/>
        <v>0</v>
      </c>
      <c r="BT275" s="91">
        <f t="shared" si="340"/>
        <v>0</v>
      </c>
      <c r="BU275" s="91">
        <f t="shared" si="340"/>
        <v>39938</v>
      </c>
      <c r="BV275" s="91">
        <f t="shared" si="340"/>
        <v>0</v>
      </c>
      <c r="BW275" s="91">
        <f t="shared" si="340"/>
        <v>39203</v>
      </c>
      <c r="BX275" s="91">
        <f t="shared" si="340"/>
        <v>0</v>
      </c>
      <c r="BY275" s="77">
        <f>BW275/BU275*100</f>
        <v>98.159647453553</v>
      </c>
      <c r="BZ275" s="72"/>
    </row>
    <row r="276" spans="1:78" s="21" customFormat="1" ht="33.75" hidden="1">
      <c r="A276" s="88" t="s">
        <v>129</v>
      </c>
      <c r="B276" s="89" t="s">
        <v>136</v>
      </c>
      <c r="C276" s="89" t="s">
        <v>151</v>
      </c>
      <c r="D276" s="90" t="s">
        <v>71</v>
      </c>
      <c r="E276" s="89" t="s">
        <v>130</v>
      </c>
      <c r="F276" s="99">
        <v>40611</v>
      </c>
      <c r="G276" s="75">
        <f>H276-F276</f>
        <v>2804</v>
      </c>
      <c r="H276" s="100">
        <v>43415</v>
      </c>
      <c r="I276" s="161"/>
      <c r="J276" s="161"/>
      <c r="K276" s="161"/>
      <c r="L276" s="161"/>
      <c r="M276" s="75">
        <f>H276+J276+K276+L276</f>
        <v>43415</v>
      </c>
      <c r="N276" s="78">
        <f>I276+L276</f>
        <v>0</v>
      </c>
      <c r="O276" s="161"/>
      <c r="P276" s="100"/>
      <c r="Q276" s="78"/>
      <c r="R276" s="134"/>
      <c r="S276" s="75">
        <f>M276+O276+P276+Q276+R276</f>
        <v>43415</v>
      </c>
      <c r="T276" s="75">
        <f>N276+R276</f>
        <v>0</v>
      </c>
      <c r="U276" s="78"/>
      <c r="V276" s="78"/>
      <c r="W276" s="134"/>
      <c r="X276" s="134"/>
      <c r="Y276" s="134"/>
      <c r="Z276" s="134"/>
      <c r="AA276" s="134"/>
      <c r="AB276" s="75">
        <f>S276+U276+V276+W276+X276+Y276+Z276+AA276</f>
        <v>43415</v>
      </c>
      <c r="AC276" s="75">
        <f>T276+Z276+AA276</f>
        <v>0</v>
      </c>
      <c r="AD276" s="78">
        <v>1</v>
      </c>
      <c r="AE276" s="78">
        <v>41</v>
      </c>
      <c r="AF276" s="75">
        <v>-3060</v>
      </c>
      <c r="AG276" s="134"/>
      <c r="AH276" s="134"/>
      <c r="AI276" s="75">
        <f>AB276+AD276+AE276+AF276+AG276+AH276</f>
        <v>40397</v>
      </c>
      <c r="AJ276" s="75">
        <f>AC276+AH276</f>
        <v>0</v>
      </c>
      <c r="AK276" s="134"/>
      <c r="AL276" s="75">
        <f>AI276+AK276</f>
        <v>40397</v>
      </c>
      <c r="AM276" s="75">
        <f>AJ276</f>
        <v>0</v>
      </c>
      <c r="AN276" s="134"/>
      <c r="AO276" s="78">
        <v>40</v>
      </c>
      <c r="AP276" s="78">
        <v>1</v>
      </c>
      <c r="AQ276" s="134"/>
      <c r="AR276" s="75">
        <f>AL276+AN276+AO276+AP276+AQ276</f>
        <v>40438</v>
      </c>
      <c r="AS276" s="75">
        <f>AM276+AQ276</f>
        <v>0</v>
      </c>
      <c r="AT276" s="140"/>
      <c r="AU276" s="140"/>
      <c r="AV276" s="140"/>
      <c r="AW276" s="76">
        <f>AV276+AU276+AT276+AR276</f>
        <v>40438</v>
      </c>
      <c r="AX276" s="76">
        <f>AV276+AS276</f>
        <v>0</v>
      </c>
      <c r="AY276" s="75">
        <v>-500</v>
      </c>
      <c r="AZ276" s="136"/>
      <c r="BA276" s="136"/>
      <c r="BB276" s="136"/>
      <c r="BC276" s="136"/>
      <c r="BD276" s="75">
        <f>AW276+AY276+AZ276+BA276+BB276+BC276</f>
        <v>39938</v>
      </c>
      <c r="BE276" s="75">
        <f>AX276+BC276</f>
        <v>0</v>
      </c>
      <c r="BF276" s="134"/>
      <c r="BG276" s="134"/>
      <c r="BH276" s="134"/>
      <c r="BI276" s="75">
        <f>BD276+BF276+BG276+BH276</f>
        <v>39938</v>
      </c>
      <c r="BJ276" s="75">
        <f>BE276+BH276</f>
        <v>0</v>
      </c>
      <c r="BK276" s="78"/>
      <c r="BL276" s="137"/>
      <c r="BM276" s="137"/>
      <c r="BN276" s="137"/>
      <c r="BO276" s="75">
        <f>BI276+BK276+BL276+BM276+BN276</f>
        <v>39938</v>
      </c>
      <c r="BP276" s="75">
        <f>BJ276+BN276</f>
        <v>0</v>
      </c>
      <c r="BQ276" s="134"/>
      <c r="BR276" s="134"/>
      <c r="BS276" s="134"/>
      <c r="BT276" s="134"/>
      <c r="BU276" s="75">
        <f>BO276+BQ276+BS276+BT276</f>
        <v>39938</v>
      </c>
      <c r="BV276" s="75">
        <f>BP276+BT276</f>
        <v>0</v>
      </c>
      <c r="BW276" s="75">
        <v>39203</v>
      </c>
      <c r="BX276" s="75">
        <f>BR276+BV276</f>
        <v>0</v>
      </c>
      <c r="BY276" s="77">
        <f>BW276/BU276*100</f>
        <v>98.159647453553</v>
      </c>
      <c r="BZ276" s="72"/>
    </row>
    <row r="277" spans="1:78" s="21" customFormat="1" ht="15" customHeight="1">
      <c r="A277" s="88"/>
      <c r="B277" s="89"/>
      <c r="C277" s="89"/>
      <c r="D277" s="90"/>
      <c r="E277" s="89"/>
      <c r="F277" s="162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34"/>
      <c r="R277" s="134"/>
      <c r="S277" s="136"/>
      <c r="T277" s="136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6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40"/>
      <c r="AU277" s="140"/>
      <c r="AV277" s="140"/>
      <c r="AW277" s="140"/>
      <c r="AX277" s="140"/>
      <c r="AY277" s="136"/>
      <c r="AZ277" s="136"/>
      <c r="BA277" s="136"/>
      <c r="BB277" s="136"/>
      <c r="BC277" s="136"/>
      <c r="BD277" s="137"/>
      <c r="BE277" s="137"/>
      <c r="BF277" s="134"/>
      <c r="BG277" s="134"/>
      <c r="BH277" s="134"/>
      <c r="BI277" s="134"/>
      <c r="BJ277" s="134"/>
      <c r="BK277" s="137"/>
      <c r="BL277" s="137"/>
      <c r="BM277" s="137"/>
      <c r="BN277" s="137"/>
      <c r="BO277" s="137"/>
      <c r="BP277" s="137"/>
      <c r="BQ277" s="134"/>
      <c r="BR277" s="134"/>
      <c r="BS277" s="134"/>
      <c r="BT277" s="134"/>
      <c r="BU277" s="134"/>
      <c r="BV277" s="134"/>
      <c r="BW277" s="134"/>
      <c r="BX277" s="134"/>
      <c r="BY277" s="72"/>
      <c r="BZ277" s="72"/>
    </row>
    <row r="278" spans="1:78" s="21" customFormat="1" ht="37.5">
      <c r="A278" s="66" t="s">
        <v>72</v>
      </c>
      <c r="B278" s="67" t="s">
        <v>136</v>
      </c>
      <c r="C278" s="67" t="s">
        <v>136</v>
      </c>
      <c r="D278" s="85"/>
      <c r="E278" s="67"/>
      <c r="F278" s="86">
        <f aca="true" t="shared" si="341" ref="F278:M278">F284+F279+F286</f>
        <v>41581</v>
      </c>
      <c r="G278" s="86">
        <f t="shared" si="341"/>
        <v>19682</v>
      </c>
      <c r="H278" s="86">
        <f t="shared" si="341"/>
        <v>61263</v>
      </c>
      <c r="I278" s="86">
        <f t="shared" si="341"/>
        <v>0</v>
      </c>
      <c r="J278" s="86">
        <f t="shared" si="341"/>
        <v>0</v>
      </c>
      <c r="K278" s="86">
        <f t="shared" si="341"/>
        <v>0</v>
      </c>
      <c r="L278" s="86">
        <f t="shared" si="341"/>
        <v>0</v>
      </c>
      <c r="M278" s="86">
        <f t="shared" si="341"/>
        <v>61263</v>
      </c>
      <c r="N278" s="86">
        <f aca="true" t="shared" si="342" ref="N278:S278">N284+N279+N286</f>
        <v>0</v>
      </c>
      <c r="O278" s="86">
        <f t="shared" si="342"/>
        <v>0</v>
      </c>
      <c r="P278" s="86">
        <f t="shared" si="342"/>
        <v>0</v>
      </c>
      <c r="Q278" s="86">
        <f t="shared" si="342"/>
        <v>0</v>
      </c>
      <c r="R278" s="86">
        <f t="shared" si="342"/>
        <v>0</v>
      </c>
      <c r="S278" s="86">
        <f t="shared" si="342"/>
        <v>61263</v>
      </c>
      <c r="T278" s="86">
        <f aca="true" t="shared" si="343" ref="T278:AB278">T284+T279+T286</f>
        <v>0</v>
      </c>
      <c r="U278" s="86">
        <f t="shared" si="343"/>
        <v>0</v>
      </c>
      <c r="V278" s="86">
        <f t="shared" si="343"/>
        <v>0</v>
      </c>
      <c r="W278" s="86">
        <f t="shared" si="343"/>
        <v>0</v>
      </c>
      <c r="X278" s="86">
        <f t="shared" si="343"/>
        <v>0</v>
      </c>
      <c r="Y278" s="86">
        <f t="shared" si="343"/>
        <v>0</v>
      </c>
      <c r="Z278" s="86">
        <f t="shared" si="343"/>
        <v>0</v>
      </c>
      <c r="AA278" s="86">
        <f t="shared" si="343"/>
        <v>0</v>
      </c>
      <c r="AB278" s="86">
        <f t="shared" si="343"/>
        <v>61263</v>
      </c>
      <c r="AC278" s="86">
        <f aca="true" t="shared" si="344" ref="AC278:AI278">AC284+AC279+AC286</f>
        <v>0</v>
      </c>
      <c r="AD278" s="86">
        <f t="shared" si="344"/>
        <v>2</v>
      </c>
      <c r="AE278" s="86">
        <f t="shared" si="344"/>
        <v>41</v>
      </c>
      <c r="AF278" s="86">
        <f t="shared" si="344"/>
        <v>-3850</v>
      </c>
      <c r="AG278" s="86">
        <f t="shared" si="344"/>
        <v>0</v>
      </c>
      <c r="AH278" s="86">
        <f t="shared" si="344"/>
        <v>0</v>
      </c>
      <c r="AI278" s="86">
        <f t="shared" si="344"/>
        <v>57456</v>
      </c>
      <c r="AJ278" s="86">
        <f>AJ284+AJ279+AJ286</f>
        <v>0</v>
      </c>
      <c r="AK278" s="86">
        <f>AK284+AK279+AK286</f>
        <v>0</v>
      </c>
      <c r="AL278" s="86">
        <f>AL284+AL279+AL286</f>
        <v>57456</v>
      </c>
      <c r="AM278" s="86">
        <f aca="true" t="shared" si="345" ref="AM278:AS278">AM284+AM279+AM286</f>
        <v>0</v>
      </c>
      <c r="AN278" s="86">
        <f t="shared" si="345"/>
        <v>0</v>
      </c>
      <c r="AO278" s="86">
        <f>AO284+AO279+AO286</f>
        <v>14</v>
      </c>
      <c r="AP278" s="86">
        <f t="shared" si="345"/>
        <v>1</v>
      </c>
      <c r="AQ278" s="86">
        <f t="shared" si="345"/>
        <v>1640</v>
      </c>
      <c r="AR278" s="86">
        <f t="shared" si="345"/>
        <v>59111</v>
      </c>
      <c r="AS278" s="86">
        <f t="shared" si="345"/>
        <v>1640</v>
      </c>
      <c r="AT278" s="87">
        <f aca="true" t="shared" si="346" ref="AT278:BE278">AT284+AT279+AT286</f>
        <v>0</v>
      </c>
      <c r="AU278" s="87">
        <f t="shared" si="346"/>
        <v>0</v>
      </c>
      <c r="AV278" s="87">
        <f t="shared" si="346"/>
        <v>0</v>
      </c>
      <c r="AW278" s="87">
        <f t="shared" si="346"/>
        <v>59111</v>
      </c>
      <c r="AX278" s="87">
        <f t="shared" si="346"/>
        <v>1640</v>
      </c>
      <c r="AY278" s="86">
        <f t="shared" si="346"/>
        <v>-2896</v>
      </c>
      <c r="AZ278" s="86">
        <f>AZ284+AZ279+AZ286</f>
        <v>0</v>
      </c>
      <c r="BA278" s="86">
        <f>BA284+BA279+BA286</f>
        <v>0</v>
      </c>
      <c r="BB278" s="86">
        <f>BB284+BB279+BB286</f>
        <v>0</v>
      </c>
      <c r="BC278" s="86">
        <f t="shared" si="346"/>
        <v>0</v>
      </c>
      <c r="BD278" s="86">
        <f t="shared" si="346"/>
        <v>56215</v>
      </c>
      <c r="BE278" s="86">
        <f t="shared" si="346"/>
        <v>1640</v>
      </c>
      <c r="BF278" s="86">
        <f>BF284+BF279+BF286</f>
        <v>0</v>
      </c>
      <c r="BG278" s="86">
        <f>BG284+BG279+BG286</f>
        <v>0</v>
      </c>
      <c r="BH278" s="86">
        <f>BH284+BH279+BH286</f>
        <v>0</v>
      </c>
      <c r="BI278" s="86">
        <f>BI284+BI279+BI286</f>
        <v>56215</v>
      </c>
      <c r="BJ278" s="86">
        <f>BJ284+BJ279+BJ286</f>
        <v>1640</v>
      </c>
      <c r="BK278" s="86">
        <f aca="true" t="shared" si="347" ref="BK278:BP278">BK284+BK279+BK286</f>
        <v>0</v>
      </c>
      <c r="BL278" s="86">
        <f t="shared" si="347"/>
        <v>0</v>
      </c>
      <c r="BM278" s="86">
        <f t="shared" si="347"/>
        <v>0</v>
      </c>
      <c r="BN278" s="86">
        <f t="shared" si="347"/>
        <v>0</v>
      </c>
      <c r="BO278" s="86">
        <f t="shared" si="347"/>
        <v>56215</v>
      </c>
      <c r="BP278" s="86">
        <f t="shared" si="347"/>
        <v>1640</v>
      </c>
      <c r="BQ278" s="86">
        <f>BQ284+BQ279+BQ286</f>
        <v>-31</v>
      </c>
      <c r="BR278" s="86"/>
      <c r="BS278" s="86">
        <f aca="true" t="shared" si="348" ref="BS278:BX278">BS284+BS279+BS286</f>
        <v>0</v>
      </c>
      <c r="BT278" s="86">
        <f t="shared" si="348"/>
        <v>0</v>
      </c>
      <c r="BU278" s="86">
        <f t="shared" si="348"/>
        <v>56184</v>
      </c>
      <c r="BV278" s="86">
        <f t="shared" si="348"/>
        <v>1640</v>
      </c>
      <c r="BW278" s="86">
        <f t="shared" si="348"/>
        <v>54181</v>
      </c>
      <c r="BX278" s="86">
        <f t="shared" si="348"/>
        <v>1640</v>
      </c>
      <c r="BY278" s="71">
        <f aca="true" t="shared" si="349" ref="BY278:BZ338">BW278/BU278*100</f>
        <v>96.43492809340738</v>
      </c>
      <c r="BZ278" s="71">
        <f>BX278/BV278*100</f>
        <v>100</v>
      </c>
    </row>
    <row r="279" spans="1:78" s="21" customFormat="1" ht="36" customHeight="1" hidden="1">
      <c r="A279" s="88" t="s">
        <v>73</v>
      </c>
      <c r="B279" s="89" t="s">
        <v>136</v>
      </c>
      <c r="C279" s="89" t="s">
        <v>136</v>
      </c>
      <c r="D279" s="90" t="s">
        <v>74</v>
      </c>
      <c r="E279" s="89"/>
      <c r="F279" s="75">
        <f>F280</f>
        <v>24229</v>
      </c>
      <c r="G279" s="75">
        <f aca="true" t="shared" si="350" ref="G279:M279">G280+G282</f>
        <v>3426</v>
      </c>
      <c r="H279" s="75">
        <f t="shared" si="350"/>
        <v>27655</v>
      </c>
      <c r="I279" s="75">
        <f t="shared" si="350"/>
        <v>0</v>
      </c>
      <c r="J279" s="75">
        <f t="shared" si="350"/>
        <v>0</v>
      </c>
      <c r="K279" s="75">
        <f t="shared" si="350"/>
        <v>0</v>
      </c>
      <c r="L279" s="75">
        <f t="shared" si="350"/>
        <v>0</v>
      </c>
      <c r="M279" s="75">
        <f t="shared" si="350"/>
        <v>27655</v>
      </c>
      <c r="N279" s="75">
        <f aca="true" t="shared" si="351" ref="N279:S279">N280+N282</f>
        <v>0</v>
      </c>
      <c r="O279" s="75">
        <f t="shared" si="351"/>
        <v>0</v>
      </c>
      <c r="P279" s="75">
        <f t="shared" si="351"/>
        <v>0</v>
      </c>
      <c r="Q279" s="75">
        <f t="shared" si="351"/>
        <v>0</v>
      </c>
      <c r="R279" s="75">
        <f t="shared" si="351"/>
        <v>0</v>
      </c>
      <c r="S279" s="75">
        <f t="shared" si="351"/>
        <v>27655</v>
      </c>
      <c r="T279" s="75">
        <f aca="true" t="shared" si="352" ref="T279:AB279">T280+T282</f>
        <v>0</v>
      </c>
      <c r="U279" s="75">
        <f t="shared" si="352"/>
        <v>0</v>
      </c>
      <c r="V279" s="75">
        <f t="shared" si="352"/>
        <v>0</v>
      </c>
      <c r="W279" s="75">
        <f t="shared" si="352"/>
        <v>0</v>
      </c>
      <c r="X279" s="75">
        <f t="shared" si="352"/>
        <v>0</v>
      </c>
      <c r="Y279" s="75">
        <f t="shared" si="352"/>
        <v>0</v>
      </c>
      <c r="Z279" s="75">
        <f t="shared" si="352"/>
        <v>0</v>
      </c>
      <c r="AA279" s="75">
        <f t="shared" si="352"/>
        <v>0</v>
      </c>
      <c r="AB279" s="75">
        <f t="shared" si="352"/>
        <v>27655</v>
      </c>
      <c r="AC279" s="75">
        <f aca="true" t="shared" si="353" ref="AC279:AI279">AC280+AC282</f>
        <v>0</v>
      </c>
      <c r="AD279" s="75">
        <f t="shared" si="353"/>
        <v>2</v>
      </c>
      <c r="AE279" s="75">
        <f t="shared" si="353"/>
        <v>41</v>
      </c>
      <c r="AF279" s="75">
        <f t="shared" si="353"/>
        <v>-793</v>
      </c>
      <c r="AG279" s="75">
        <f t="shared" si="353"/>
        <v>0</v>
      </c>
      <c r="AH279" s="75">
        <f t="shared" si="353"/>
        <v>0</v>
      </c>
      <c r="AI279" s="75">
        <f t="shared" si="353"/>
        <v>26905</v>
      </c>
      <c r="AJ279" s="75">
        <f>AJ280+AJ282</f>
        <v>0</v>
      </c>
      <c r="AK279" s="75">
        <f>AK280+AK282</f>
        <v>0</v>
      </c>
      <c r="AL279" s="75">
        <f>AL280+AL282</f>
        <v>26905</v>
      </c>
      <c r="AM279" s="75">
        <f>AM280+AM282</f>
        <v>0</v>
      </c>
      <c r="AN279" s="75">
        <f aca="true" t="shared" si="354" ref="AN279:AS279">AN280+AN281+AN282</f>
        <v>0</v>
      </c>
      <c r="AO279" s="75">
        <f t="shared" si="354"/>
        <v>14</v>
      </c>
      <c r="AP279" s="75">
        <f t="shared" si="354"/>
        <v>1</v>
      </c>
      <c r="AQ279" s="75">
        <f t="shared" si="354"/>
        <v>1640</v>
      </c>
      <c r="AR279" s="75">
        <f t="shared" si="354"/>
        <v>28560</v>
      </c>
      <c r="AS279" s="75">
        <f t="shared" si="354"/>
        <v>1640</v>
      </c>
      <c r="AT279" s="76">
        <f aca="true" t="shared" si="355" ref="AT279:BE279">AT280+AT281+AT282</f>
        <v>0</v>
      </c>
      <c r="AU279" s="76">
        <f t="shared" si="355"/>
        <v>0</v>
      </c>
      <c r="AV279" s="76">
        <f t="shared" si="355"/>
        <v>0</v>
      </c>
      <c r="AW279" s="76">
        <f t="shared" si="355"/>
        <v>28560</v>
      </c>
      <c r="AX279" s="76">
        <f t="shared" si="355"/>
        <v>1640</v>
      </c>
      <c r="AY279" s="75">
        <f t="shared" si="355"/>
        <v>-533</v>
      </c>
      <c r="AZ279" s="75">
        <f>AZ280+AZ281+AZ282</f>
        <v>0</v>
      </c>
      <c r="BA279" s="75">
        <f>BA280+BA281+BA282</f>
        <v>0</v>
      </c>
      <c r="BB279" s="75">
        <f>BB280+BB281+BB282</f>
        <v>0</v>
      </c>
      <c r="BC279" s="75">
        <f t="shared" si="355"/>
        <v>0</v>
      </c>
      <c r="BD279" s="75">
        <f t="shared" si="355"/>
        <v>28027</v>
      </c>
      <c r="BE279" s="75">
        <f t="shared" si="355"/>
        <v>1640</v>
      </c>
      <c r="BF279" s="75">
        <f>BF280+BF281+BF282</f>
        <v>0</v>
      </c>
      <c r="BG279" s="75">
        <f>BG280+BG281+BG282</f>
        <v>0</v>
      </c>
      <c r="BH279" s="75">
        <f>BH280+BH281+BH282</f>
        <v>0</v>
      </c>
      <c r="BI279" s="75">
        <f>BI280+BI281+BI282</f>
        <v>28027</v>
      </c>
      <c r="BJ279" s="75">
        <f>BJ280+BJ281+BJ282</f>
        <v>1640</v>
      </c>
      <c r="BK279" s="75">
        <f aca="true" t="shared" si="356" ref="BK279:BP279">BK280+BK281+BK282</f>
        <v>0</v>
      </c>
      <c r="BL279" s="75">
        <f t="shared" si="356"/>
        <v>0</v>
      </c>
      <c r="BM279" s="75">
        <f t="shared" si="356"/>
        <v>0</v>
      </c>
      <c r="BN279" s="75">
        <f t="shared" si="356"/>
        <v>0</v>
      </c>
      <c r="BO279" s="75">
        <f t="shared" si="356"/>
        <v>28027</v>
      </c>
      <c r="BP279" s="75">
        <f t="shared" si="356"/>
        <v>1640</v>
      </c>
      <c r="BQ279" s="75">
        <f>BQ280+BQ281+BQ282</f>
        <v>0</v>
      </c>
      <c r="BR279" s="75"/>
      <c r="BS279" s="75">
        <f aca="true" t="shared" si="357" ref="BS279:BX279">BS280+BS281+BS282</f>
        <v>0</v>
      </c>
      <c r="BT279" s="75">
        <f t="shared" si="357"/>
        <v>0</v>
      </c>
      <c r="BU279" s="75">
        <f t="shared" si="357"/>
        <v>28027</v>
      </c>
      <c r="BV279" s="75">
        <f t="shared" si="357"/>
        <v>1640</v>
      </c>
      <c r="BW279" s="75">
        <f t="shared" si="357"/>
        <v>27139</v>
      </c>
      <c r="BX279" s="75">
        <f t="shared" si="357"/>
        <v>1640</v>
      </c>
      <c r="BY279" s="77">
        <f t="shared" si="349"/>
        <v>96.83162664573447</v>
      </c>
      <c r="BZ279" s="77">
        <f>BX279/BV279*100</f>
        <v>100</v>
      </c>
    </row>
    <row r="280" spans="1:78" s="21" customFormat="1" ht="35.25" customHeight="1" hidden="1">
      <c r="A280" s="88" t="s">
        <v>129</v>
      </c>
      <c r="B280" s="89" t="s">
        <v>136</v>
      </c>
      <c r="C280" s="89" t="s">
        <v>136</v>
      </c>
      <c r="D280" s="90" t="s">
        <v>74</v>
      </c>
      <c r="E280" s="89" t="s">
        <v>130</v>
      </c>
      <c r="F280" s="99">
        <v>24229</v>
      </c>
      <c r="G280" s="75">
        <f>H280-F280</f>
        <v>3426</v>
      </c>
      <c r="H280" s="100">
        <f>30174+1-2550+30</f>
        <v>27655</v>
      </c>
      <c r="I280" s="161"/>
      <c r="J280" s="161"/>
      <c r="K280" s="161"/>
      <c r="L280" s="161"/>
      <c r="M280" s="75">
        <f>H280+J280+K280+L280</f>
        <v>27655</v>
      </c>
      <c r="N280" s="78">
        <f>I280+L280</f>
        <v>0</v>
      </c>
      <c r="O280" s="161"/>
      <c r="P280" s="100"/>
      <c r="Q280" s="78"/>
      <c r="R280" s="134"/>
      <c r="S280" s="75">
        <f>M280+O280+P280+Q280+R280</f>
        <v>27655</v>
      </c>
      <c r="T280" s="75">
        <f>N280+R280</f>
        <v>0</v>
      </c>
      <c r="U280" s="78"/>
      <c r="V280" s="78"/>
      <c r="W280" s="134"/>
      <c r="X280" s="78"/>
      <c r="Y280" s="78"/>
      <c r="Z280" s="134"/>
      <c r="AA280" s="134"/>
      <c r="AB280" s="75">
        <f>S280+U280+V280+W280+X280+Y280+Z280+AA280</f>
        <v>27655</v>
      </c>
      <c r="AC280" s="75">
        <f>T280+Z280+AA280</f>
        <v>0</v>
      </c>
      <c r="AD280" s="78">
        <v>2</v>
      </c>
      <c r="AE280" s="78">
        <v>41</v>
      </c>
      <c r="AF280" s="75">
        <v>-793</v>
      </c>
      <c r="AG280" s="134"/>
      <c r="AH280" s="134"/>
      <c r="AI280" s="75">
        <f>AB280+AD280+AE280+AF280+AG280+AH280</f>
        <v>26905</v>
      </c>
      <c r="AJ280" s="75">
        <f>AC280+AH280</f>
        <v>0</v>
      </c>
      <c r="AK280" s="134"/>
      <c r="AL280" s="75">
        <f>AI280+AK280</f>
        <v>26905</v>
      </c>
      <c r="AM280" s="75">
        <f>AJ280</f>
        <v>0</v>
      </c>
      <c r="AN280" s="134"/>
      <c r="AO280" s="78">
        <v>14</v>
      </c>
      <c r="AP280" s="78">
        <v>1</v>
      </c>
      <c r="AQ280" s="134"/>
      <c r="AR280" s="75">
        <f>AL280+AN280+AO280+AP280+AQ280</f>
        <v>26920</v>
      </c>
      <c r="AS280" s="75">
        <f>AM280+AQ280</f>
        <v>0</v>
      </c>
      <c r="AT280" s="140"/>
      <c r="AU280" s="140"/>
      <c r="AV280" s="140"/>
      <c r="AW280" s="76">
        <f>AV280+AU280+AT280+AR280</f>
        <v>26920</v>
      </c>
      <c r="AX280" s="76">
        <f>AV280+AS280</f>
        <v>0</v>
      </c>
      <c r="AY280" s="75">
        <v>-533</v>
      </c>
      <c r="AZ280" s="136"/>
      <c r="BA280" s="136"/>
      <c r="BB280" s="136"/>
      <c r="BC280" s="136"/>
      <c r="BD280" s="75">
        <f>AW280+AY280+AZ280+BA280+BB280+BC280</f>
        <v>26387</v>
      </c>
      <c r="BE280" s="75">
        <f>AX280+BC280</f>
        <v>0</v>
      </c>
      <c r="BF280" s="134"/>
      <c r="BG280" s="134"/>
      <c r="BH280" s="134"/>
      <c r="BI280" s="75">
        <f>BD280+BF280+BG280+BH280</f>
        <v>26387</v>
      </c>
      <c r="BJ280" s="75">
        <f>BE280+BH280</f>
        <v>0</v>
      </c>
      <c r="BK280" s="137"/>
      <c r="BL280" s="137"/>
      <c r="BM280" s="137"/>
      <c r="BN280" s="137"/>
      <c r="BO280" s="75">
        <f>BI280+BK280+BL280+BM280+BN280</f>
        <v>26387</v>
      </c>
      <c r="BP280" s="75">
        <f>BJ280+BN280</f>
        <v>0</v>
      </c>
      <c r="BQ280" s="134"/>
      <c r="BR280" s="134"/>
      <c r="BS280" s="134"/>
      <c r="BT280" s="134"/>
      <c r="BU280" s="75">
        <f>BO280+BQ280+BS280+BT280</f>
        <v>26387</v>
      </c>
      <c r="BV280" s="75">
        <f>BP280+BT280</f>
        <v>0</v>
      </c>
      <c r="BW280" s="75">
        <v>25499</v>
      </c>
      <c r="BX280" s="75">
        <f>BR280+BV280</f>
        <v>0</v>
      </c>
      <c r="BY280" s="77">
        <f t="shared" si="349"/>
        <v>96.63470648425361</v>
      </c>
      <c r="BZ280" s="77"/>
    </row>
    <row r="281" spans="1:78" s="21" customFormat="1" ht="64.5" customHeight="1" hidden="1">
      <c r="A281" s="88" t="s">
        <v>138</v>
      </c>
      <c r="B281" s="89" t="s">
        <v>136</v>
      </c>
      <c r="C281" s="89" t="s">
        <v>136</v>
      </c>
      <c r="D281" s="90" t="s">
        <v>74</v>
      </c>
      <c r="E281" s="89" t="s">
        <v>139</v>
      </c>
      <c r="F281" s="99"/>
      <c r="G281" s="75"/>
      <c r="H281" s="100"/>
      <c r="I281" s="161"/>
      <c r="J281" s="161"/>
      <c r="K281" s="161"/>
      <c r="L281" s="161"/>
      <c r="M281" s="75"/>
      <c r="N281" s="78"/>
      <c r="O281" s="161"/>
      <c r="P281" s="100"/>
      <c r="Q281" s="78"/>
      <c r="R281" s="134"/>
      <c r="S281" s="75"/>
      <c r="T281" s="75"/>
      <c r="U281" s="78"/>
      <c r="V281" s="78"/>
      <c r="W281" s="134"/>
      <c r="X281" s="78"/>
      <c r="Y281" s="78"/>
      <c r="Z281" s="134"/>
      <c r="AA281" s="134"/>
      <c r="AB281" s="75"/>
      <c r="AC281" s="75"/>
      <c r="AD281" s="78"/>
      <c r="AE281" s="78"/>
      <c r="AF281" s="75"/>
      <c r="AG281" s="134"/>
      <c r="AH281" s="134"/>
      <c r="AI281" s="75"/>
      <c r="AJ281" s="75"/>
      <c r="AK281" s="134"/>
      <c r="AL281" s="75"/>
      <c r="AM281" s="75"/>
      <c r="AN281" s="134"/>
      <c r="AO281" s="134"/>
      <c r="AP281" s="134"/>
      <c r="AQ281" s="78">
        <v>1640</v>
      </c>
      <c r="AR281" s="75">
        <f>AL281+AN281+AO281+AP281+AQ281</f>
        <v>1640</v>
      </c>
      <c r="AS281" s="75">
        <f>AM281+AQ281</f>
        <v>1640</v>
      </c>
      <c r="AT281" s="81"/>
      <c r="AU281" s="81"/>
      <c r="AV281" s="81"/>
      <c r="AW281" s="76">
        <f>AV281+AU281+AT281+AR281</f>
        <v>1640</v>
      </c>
      <c r="AX281" s="76">
        <f>AV281+AS281</f>
        <v>1640</v>
      </c>
      <c r="AY281" s="136"/>
      <c r="AZ281" s="136"/>
      <c r="BA281" s="136"/>
      <c r="BB281" s="136"/>
      <c r="BC281" s="136"/>
      <c r="BD281" s="75">
        <f>AW281+AY281+AZ281+BA281+BB281+BC281</f>
        <v>1640</v>
      </c>
      <c r="BE281" s="75">
        <f>AX281+BC281</f>
        <v>1640</v>
      </c>
      <c r="BF281" s="134"/>
      <c r="BG281" s="134"/>
      <c r="BH281" s="134"/>
      <c r="BI281" s="75">
        <f>BD281+BF281+BG281+BH281</f>
        <v>1640</v>
      </c>
      <c r="BJ281" s="75">
        <f>BE281+BH281</f>
        <v>1640</v>
      </c>
      <c r="BK281" s="137"/>
      <c r="BL281" s="137"/>
      <c r="BM281" s="137"/>
      <c r="BN281" s="137"/>
      <c r="BO281" s="75">
        <f>BI281+BK281+BL281+BM281+BN281</f>
        <v>1640</v>
      </c>
      <c r="BP281" s="75">
        <f>BJ281+BN281</f>
        <v>1640</v>
      </c>
      <c r="BQ281" s="134"/>
      <c r="BR281" s="134"/>
      <c r="BS281" s="134"/>
      <c r="BT281" s="134"/>
      <c r="BU281" s="75">
        <f>BO281+BQ281+BS281+BT281</f>
        <v>1640</v>
      </c>
      <c r="BV281" s="75">
        <f>BP281+BT281</f>
        <v>1640</v>
      </c>
      <c r="BW281" s="75">
        <v>1640</v>
      </c>
      <c r="BX281" s="75">
        <v>1640</v>
      </c>
      <c r="BY281" s="77">
        <f t="shared" si="349"/>
        <v>100</v>
      </c>
      <c r="BZ281" s="77">
        <f>BX281/BV281*100</f>
        <v>100</v>
      </c>
    </row>
    <row r="282" spans="1:78" s="21" customFormat="1" ht="15" customHeight="1" hidden="1">
      <c r="A282" s="88" t="s">
        <v>265</v>
      </c>
      <c r="B282" s="89" t="s">
        <v>136</v>
      </c>
      <c r="C282" s="89" t="s">
        <v>136</v>
      </c>
      <c r="D282" s="90" t="s">
        <v>266</v>
      </c>
      <c r="E282" s="89"/>
      <c r="F282" s="99"/>
      <c r="G282" s="75">
        <f>G283</f>
        <v>0</v>
      </c>
      <c r="H282" s="75">
        <f>H283</f>
        <v>0</v>
      </c>
      <c r="I282" s="75">
        <f>I283</f>
        <v>0</v>
      </c>
      <c r="J282" s="161"/>
      <c r="K282" s="161"/>
      <c r="L282" s="161"/>
      <c r="M282" s="161"/>
      <c r="N282" s="161"/>
      <c r="O282" s="161"/>
      <c r="P282" s="161"/>
      <c r="Q282" s="134"/>
      <c r="R282" s="134"/>
      <c r="S282" s="136"/>
      <c r="T282" s="136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6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40"/>
      <c r="AU282" s="140"/>
      <c r="AV282" s="140"/>
      <c r="AW282" s="140"/>
      <c r="AX282" s="140"/>
      <c r="AY282" s="136"/>
      <c r="AZ282" s="136"/>
      <c r="BA282" s="136"/>
      <c r="BB282" s="136"/>
      <c r="BC282" s="136"/>
      <c r="BD282" s="137"/>
      <c r="BE282" s="137"/>
      <c r="BF282" s="134"/>
      <c r="BG282" s="134"/>
      <c r="BH282" s="134"/>
      <c r="BI282" s="134"/>
      <c r="BJ282" s="134"/>
      <c r="BK282" s="137"/>
      <c r="BL282" s="137"/>
      <c r="BM282" s="137"/>
      <c r="BN282" s="137"/>
      <c r="BO282" s="137"/>
      <c r="BP282" s="137"/>
      <c r="BQ282" s="134"/>
      <c r="BR282" s="134"/>
      <c r="BS282" s="134"/>
      <c r="BT282" s="134"/>
      <c r="BU282" s="134"/>
      <c r="BV282" s="134"/>
      <c r="BW282" s="134"/>
      <c r="BX282" s="134"/>
      <c r="BY282" s="77" t="e">
        <f t="shared" si="349"/>
        <v>#DIV/0!</v>
      </c>
      <c r="BZ282" s="72" t="e">
        <f>BX282/BV282*100</f>
        <v>#DIV/0!</v>
      </c>
    </row>
    <row r="283" spans="1:78" s="21" customFormat="1" ht="15.75" customHeight="1" hidden="1">
      <c r="A283" s="143" t="s">
        <v>270</v>
      </c>
      <c r="B283" s="89" t="s">
        <v>136</v>
      </c>
      <c r="C283" s="89" t="s">
        <v>136</v>
      </c>
      <c r="D283" s="90" t="s">
        <v>266</v>
      </c>
      <c r="E283" s="89" t="s">
        <v>271</v>
      </c>
      <c r="F283" s="99"/>
      <c r="G283" s="75">
        <f>H283-F283</f>
        <v>0</v>
      </c>
      <c r="H283" s="100">
        <f>4797-4797</f>
        <v>0</v>
      </c>
      <c r="I283" s="161"/>
      <c r="J283" s="161"/>
      <c r="K283" s="161"/>
      <c r="L283" s="161"/>
      <c r="M283" s="161"/>
      <c r="N283" s="161"/>
      <c r="O283" s="161"/>
      <c r="P283" s="161"/>
      <c r="Q283" s="134"/>
      <c r="R283" s="134"/>
      <c r="S283" s="136"/>
      <c r="T283" s="136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6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40"/>
      <c r="AU283" s="140"/>
      <c r="AV283" s="140"/>
      <c r="AW283" s="140"/>
      <c r="AX283" s="140"/>
      <c r="AY283" s="136"/>
      <c r="AZ283" s="136"/>
      <c r="BA283" s="136"/>
      <c r="BB283" s="136"/>
      <c r="BC283" s="136"/>
      <c r="BD283" s="137"/>
      <c r="BE283" s="137"/>
      <c r="BF283" s="134"/>
      <c r="BG283" s="134"/>
      <c r="BH283" s="134"/>
      <c r="BI283" s="134"/>
      <c r="BJ283" s="134"/>
      <c r="BK283" s="137"/>
      <c r="BL283" s="137"/>
      <c r="BM283" s="137"/>
      <c r="BN283" s="137"/>
      <c r="BO283" s="137"/>
      <c r="BP283" s="137"/>
      <c r="BQ283" s="134"/>
      <c r="BR283" s="134"/>
      <c r="BS283" s="134"/>
      <c r="BT283" s="134"/>
      <c r="BU283" s="134"/>
      <c r="BV283" s="134"/>
      <c r="BW283" s="134"/>
      <c r="BX283" s="134"/>
      <c r="BY283" s="77" t="e">
        <f t="shared" si="349"/>
        <v>#DIV/0!</v>
      </c>
      <c r="BZ283" s="72" t="e">
        <f>BX283/BV283*100</f>
        <v>#DIV/0!</v>
      </c>
    </row>
    <row r="284" spans="1:78" s="21" customFormat="1" ht="36.75" customHeight="1" hidden="1">
      <c r="A284" s="88" t="s">
        <v>75</v>
      </c>
      <c r="B284" s="89" t="s">
        <v>136</v>
      </c>
      <c r="C284" s="89" t="s">
        <v>136</v>
      </c>
      <c r="D284" s="90" t="s">
        <v>76</v>
      </c>
      <c r="E284" s="89"/>
      <c r="F284" s="91">
        <f>F285</f>
        <v>4898</v>
      </c>
      <c r="G284" s="91">
        <f>G285</f>
        <v>8086</v>
      </c>
      <c r="H284" s="91">
        <f>H285</f>
        <v>12984</v>
      </c>
      <c r="I284" s="91">
        <f aca="true" t="shared" si="358" ref="I284:BW284">I285</f>
        <v>0</v>
      </c>
      <c r="J284" s="91">
        <f t="shared" si="358"/>
        <v>0</v>
      </c>
      <c r="K284" s="91">
        <f t="shared" si="358"/>
        <v>0</v>
      </c>
      <c r="L284" s="91">
        <f t="shared" si="358"/>
        <v>0</v>
      </c>
      <c r="M284" s="91">
        <f t="shared" si="358"/>
        <v>12984</v>
      </c>
      <c r="N284" s="91">
        <f t="shared" si="358"/>
        <v>0</v>
      </c>
      <c r="O284" s="91">
        <f t="shared" si="358"/>
        <v>0</v>
      </c>
      <c r="P284" s="91">
        <f t="shared" si="358"/>
        <v>0</v>
      </c>
      <c r="Q284" s="91">
        <f t="shared" si="358"/>
        <v>0</v>
      </c>
      <c r="R284" s="91">
        <f t="shared" si="358"/>
        <v>0</v>
      </c>
      <c r="S284" s="91">
        <f t="shared" si="358"/>
        <v>12984</v>
      </c>
      <c r="T284" s="91">
        <f t="shared" si="358"/>
        <v>0</v>
      </c>
      <c r="U284" s="91">
        <f t="shared" si="358"/>
        <v>0</v>
      </c>
      <c r="V284" s="91">
        <f t="shared" si="358"/>
        <v>0</v>
      </c>
      <c r="W284" s="91">
        <f t="shared" si="358"/>
        <v>0</v>
      </c>
      <c r="X284" s="91">
        <f t="shared" si="358"/>
        <v>0</v>
      </c>
      <c r="Y284" s="91">
        <f t="shared" si="358"/>
        <v>0</v>
      </c>
      <c r="Z284" s="91">
        <f t="shared" si="358"/>
        <v>0</v>
      </c>
      <c r="AA284" s="91">
        <f t="shared" si="358"/>
        <v>0</v>
      </c>
      <c r="AB284" s="91">
        <f t="shared" si="358"/>
        <v>12984</v>
      </c>
      <c r="AC284" s="91">
        <f t="shared" si="358"/>
        <v>0</v>
      </c>
      <c r="AD284" s="91">
        <f t="shared" si="358"/>
        <v>0</v>
      </c>
      <c r="AE284" s="91">
        <f t="shared" si="358"/>
        <v>0</v>
      </c>
      <c r="AF284" s="91">
        <f t="shared" si="358"/>
        <v>0</v>
      </c>
      <c r="AG284" s="91">
        <f t="shared" si="358"/>
        <v>0</v>
      </c>
      <c r="AH284" s="91">
        <f t="shared" si="358"/>
        <v>0</v>
      </c>
      <c r="AI284" s="91">
        <f t="shared" si="358"/>
        <v>12984</v>
      </c>
      <c r="AJ284" s="91">
        <f t="shared" si="358"/>
        <v>0</v>
      </c>
      <c r="AK284" s="91">
        <f t="shared" si="358"/>
        <v>0</v>
      </c>
      <c r="AL284" s="91">
        <f t="shared" si="358"/>
        <v>12984</v>
      </c>
      <c r="AM284" s="91">
        <f t="shared" si="358"/>
        <v>0</v>
      </c>
      <c r="AN284" s="91">
        <f t="shared" si="358"/>
        <v>0</v>
      </c>
      <c r="AO284" s="91">
        <f t="shared" si="358"/>
        <v>0</v>
      </c>
      <c r="AP284" s="91">
        <f t="shared" si="358"/>
        <v>0</v>
      </c>
      <c r="AQ284" s="91">
        <f t="shared" si="358"/>
        <v>0</v>
      </c>
      <c r="AR284" s="91">
        <f t="shared" si="358"/>
        <v>12984</v>
      </c>
      <c r="AS284" s="91">
        <f t="shared" si="358"/>
        <v>0</v>
      </c>
      <c r="AT284" s="92">
        <f t="shared" si="358"/>
        <v>0</v>
      </c>
      <c r="AU284" s="92">
        <f t="shared" si="358"/>
        <v>0</v>
      </c>
      <c r="AV284" s="92">
        <f t="shared" si="358"/>
        <v>0</v>
      </c>
      <c r="AW284" s="92">
        <f t="shared" si="358"/>
        <v>12984</v>
      </c>
      <c r="AX284" s="92">
        <f t="shared" si="358"/>
        <v>0</v>
      </c>
      <c r="AY284" s="91">
        <f t="shared" si="358"/>
        <v>0</v>
      </c>
      <c r="AZ284" s="91">
        <f t="shared" si="358"/>
        <v>0</v>
      </c>
      <c r="BA284" s="91">
        <f t="shared" si="358"/>
        <v>0</v>
      </c>
      <c r="BB284" s="91">
        <f t="shared" si="358"/>
        <v>0</v>
      </c>
      <c r="BC284" s="91">
        <f t="shared" si="358"/>
        <v>0</v>
      </c>
      <c r="BD284" s="91">
        <f t="shared" si="358"/>
        <v>12984</v>
      </c>
      <c r="BE284" s="91">
        <f t="shared" si="358"/>
        <v>0</v>
      </c>
      <c r="BF284" s="91">
        <f t="shared" si="358"/>
        <v>0</v>
      </c>
      <c r="BG284" s="91">
        <f t="shared" si="358"/>
        <v>0</v>
      </c>
      <c r="BH284" s="91">
        <f t="shared" si="358"/>
        <v>0</v>
      </c>
      <c r="BI284" s="91">
        <f t="shared" si="358"/>
        <v>12984</v>
      </c>
      <c r="BJ284" s="91">
        <f t="shared" si="358"/>
        <v>0</v>
      </c>
      <c r="BK284" s="91">
        <f t="shared" si="358"/>
        <v>0</v>
      </c>
      <c r="BL284" s="91">
        <f t="shared" si="358"/>
        <v>0</v>
      </c>
      <c r="BM284" s="91">
        <f t="shared" si="358"/>
        <v>0</v>
      </c>
      <c r="BN284" s="91">
        <f t="shared" si="358"/>
        <v>0</v>
      </c>
      <c r="BO284" s="91">
        <f t="shared" si="358"/>
        <v>12984</v>
      </c>
      <c r="BP284" s="91">
        <f t="shared" si="358"/>
        <v>0</v>
      </c>
      <c r="BQ284" s="91">
        <f t="shared" si="358"/>
        <v>-30</v>
      </c>
      <c r="BR284" s="91"/>
      <c r="BS284" s="91">
        <f t="shared" si="358"/>
        <v>0</v>
      </c>
      <c r="BT284" s="91">
        <f t="shared" si="358"/>
        <v>0</v>
      </c>
      <c r="BU284" s="91">
        <f t="shared" si="358"/>
        <v>12954</v>
      </c>
      <c r="BV284" s="91">
        <f>BV285</f>
        <v>0</v>
      </c>
      <c r="BW284" s="91">
        <f t="shared" si="358"/>
        <v>11926</v>
      </c>
      <c r="BX284" s="91">
        <f>BX285</f>
        <v>0</v>
      </c>
      <c r="BY284" s="77">
        <f t="shared" si="349"/>
        <v>92.06422726570943</v>
      </c>
      <c r="BZ284" s="72"/>
    </row>
    <row r="285" spans="1:78" s="21" customFormat="1" ht="69.75" customHeight="1" hidden="1">
      <c r="A285" s="88" t="s">
        <v>138</v>
      </c>
      <c r="B285" s="89" t="s">
        <v>136</v>
      </c>
      <c r="C285" s="89" t="s">
        <v>136</v>
      </c>
      <c r="D285" s="90" t="s">
        <v>76</v>
      </c>
      <c r="E285" s="89" t="s">
        <v>139</v>
      </c>
      <c r="F285" s="99">
        <v>4898</v>
      </c>
      <c r="G285" s="75">
        <f>H285-F285</f>
        <v>8086</v>
      </c>
      <c r="H285" s="100">
        <v>12984</v>
      </c>
      <c r="I285" s="161"/>
      <c r="J285" s="161"/>
      <c r="K285" s="161"/>
      <c r="L285" s="161"/>
      <c r="M285" s="75">
        <f>H285+J285+K285+L285</f>
        <v>12984</v>
      </c>
      <c r="N285" s="78">
        <f>I285+L285</f>
        <v>0</v>
      </c>
      <c r="O285" s="161"/>
      <c r="P285" s="161"/>
      <c r="Q285" s="134"/>
      <c r="R285" s="134"/>
      <c r="S285" s="75">
        <f>M285+O285+P285+Q285+R285</f>
        <v>12984</v>
      </c>
      <c r="T285" s="75">
        <f>N285+R285</f>
        <v>0</v>
      </c>
      <c r="U285" s="134"/>
      <c r="V285" s="134"/>
      <c r="W285" s="134"/>
      <c r="X285" s="134"/>
      <c r="Y285" s="134"/>
      <c r="Z285" s="134"/>
      <c r="AA285" s="134"/>
      <c r="AB285" s="75">
        <f>S285+U285+V285+W285+X285+Y285+Z285+AA285</f>
        <v>12984</v>
      </c>
      <c r="AC285" s="75">
        <f>T285+Z285+AA285</f>
        <v>0</v>
      </c>
      <c r="AD285" s="134"/>
      <c r="AE285" s="134"/>
      <c r="AF285" s="136"/>
      <c r="AG285" s="134"/>
      <c r="AH285" s="134"/>
      <c r="AI285" s="75">
        <f>AB285+AD285+AE285+AF285+AG285+AH285</f>
        <v>12984</v>
      </c>
      <c r="AJ285" s="75">
        <f>AC285+AH285</f>
        <v>0</v>
      </c>
      <c r="AK285" s="134"/>
      <c r="AL285" s="75">
        <f>AI285+AK285</f>
        <v>12984</v>
      </c>
      <c r="AM285" s="75">
        <f>AJ285</f>
        <v>0</v>
      </c>
      <c r="AN285" s="134"/>
      <c r="AO285" s="134"/>
      <c r="AP285" s="134"/>
      <c r="AQ285" s="134"/>
      <c r="AR285" s="75">
        <f>AL285+AN285+AO285+AP285+AQ285</f>
        <v>12984</v>
      </c>
      <c r="AS285" s="75">
        <f>AM285+AQ285</f>
        <v>0</v>
      </c>
      <c r="AT285" s="140"/>
      <c r="AU285" s="140"/>
      <c r="AV285" s="140"/>
      <c r="AW285" s="76">
        <f>AV285+AU285+AT285+AR285</f>
        <v>12984</v>
      </c>
      <c r="AX285" s="76">
        <f>AV285+AS285</f>
        <v>0</v>
      </c>
      <c r="AY285" s="136"/>
      <c r="AZ285" s="136"/>
      <c r="BA285" s="136"/>
      <c r="BB285" s="136"/>
      <c r="BC285" s="136"/>
      <c r="BD285" s="75">
        <f>AW285+AY285+AZ285+BA285+BB285+BC285</f>
        <v>12984</v>
      </c>
      <c r="BE285" s="75">
        <f>AX285+BC285</f>
        <v>0</v>
      </c>
      <c r="BF285" s="134"/>
      <c r="BG285" s="134"/>
      <c r="BH285" s="134"/>
      <c r="BI285" s="75">
        <f>BD285+BF285+BG285+BH285</f>
        <v>12984</v>
      </c>
      <c r="BJ285" s="75">
        <f>BE285+BH285</f>
        <v>0</v>
      </c>
      <c r="BK285" s="137"/>
      <c r="BL285" s="137"/>
      <c r="BM285" s="137"/>
      <c r="BN285" s="137"/>
      <c r="BO285" s="75">
        <f>BI285+BK285+BL285+BM285+BN285</f>
        <v>12984</v>
      </c>
      <c r="BP285" s="75">
        <f>BJ285+BN285</f>
        <v>0</v>
      </c>
      <c r="BQ285" s="78">
        <v>-30</v>
      </c>
      <c r="BR285" s="78"/>
      <c r="BS285" s="134"/>
      <c r="BT285" s="134"/>
      <c r="BU285" s="75">
        <f>BO285+BQ285+BS285+BT285</f>
        <v>12954</v>
      </c>
      <c r="BV285" s="75">
        <f>BP285+BT285</f>
        <v>0</v>
      </c>
      <c r="BW285" s="75">
        <v>11926</v>
      </c>
      <c r="BX285" s="75">
        <f>BR285+BV285</f>
        <v>0</v>
      </c>
      <c r="BY285" s="77">
        <f t="shared" si="349"/>
        <v>92.06422726570943</v>
      </c>
      <c r="BZ285" s="72"/>
    </row>
    <row r="286" spans="1:78" s="21" customFormat="1" ht="39" customHeight="1" hidden="1">
      <c r="A286" s="88" t="s">
        <v>121</v>
      </c>
      <c r="B286" s="89" t="s">
        <v>136</v>
      </c>
      <c r="C286" s="89" t="s">
        <v>136</v>
      </c>
      <c r="D286" s="90" t="s">
        <v>122</v>
      </c>
      <c r="E286" s="89"/>
      <c r="F286" s="75">
        <f>F287</f>
        <v>12454</v>
      </c>
      <c r="G286" s="75">
        <f>G287+G288</f>
        <v>8170</v>
      </c>
      <c r="H286" s="75">
        <f>H287+H288</f>
        <v>20624</v>
      </c>
      <c r="I286" s="75">
        <f aca="true" t="shared" si="359" ref="I286:AS286">I287+I288</f>
        <v>0</v>
      </c>
      <c r="J286" s="75">
        <f t="shared" si="359"/>
        <v>0</v>
      </c>
      <c r="K286" s="75">
        <f t="shared" si="359"/>
        <v>0</v>
      </c>
      <c r="L286" s="75">
        <f t="shared" si="359"/>
        <v>0</v>
      </c>
      <c r="M286" s="75">
        <f t="shared" si="359"/>
        <v>20624</v>
      </c>
      <c r="N286" s="75">
        <f t="shared" si="359"/>
        <v>0</v>
      </c>
      <c r="O286" s="75">
        <f t="shared" si="359"/>
        <v>0</v>
      </c>
      <c r="P286" s="75"/>
      <c r="Q286" s="75">
        <f t="shared" si="359"/>
        <v>0</v>
      </c>
      <c r="R286" s="75">
        <f t="shared" si="359"/>
        <v>0</v>
      </c>
      <c r="S286" s="75">
        <f t="shared" si="359"/>
        <v>20624</v>
      </c>
      <c r="T286" s="75">
        <f t="shared" si="359"/>
        <v>0</v>
      </c>
      <c r="U286" s="75">
        <f t="shared" si="359"/>
        <v>0</v>
      </c>
      <c r="V286" s="75">
        <f t="shared" si="359"/>
        <v>0</v>
      </c>
      <c r="W286" s="75">
        <f t="shared" si="359"/>
        <v>0</v>
      </c>
      <c r="X286" s="75">
        <f t="shared" si="359"/>
        <v>0</v>
      </c>
      <c r="Y286" s="75">
        <f t="shared" si="359"/>
        <v>0</v>
      </c>
      <c r="Z286" s="75">
        <f t="shared" si="359"/>
        <v>0</v>
      </c>
      <c r="AA286" s="75">
        <f t="shared" si="359"/>
        <v>0</v>
      </c>
      <c r="AB286" s="75">
        <f t="shared" si="359"/>
        <v>20624</v>
      </c>
      <c r="AC286" s="75">
        <f t="shared" si="359"/>
        <v>0</v>
      </c>
      <c r="AD286" s="75">
        <f t="shared" si="359"/>
        <v>0</v>
      </c>
      <c r="AE286" s="75">
        <f t="shared" si="359"/>
        <v>0</v>
      </c>
      <c r="AF286" s="75">
        <f t="shared" si="359"/>
        <v>-3057</v>
      </c>
      <c r="AG286" s="75">
        <f t="shared" si="359"/>
        <v>0</v>
      </c>
      <c r="AH286" s="75">
        <f t="shared" si="359"/>
        <v>0</v>
      </c>
      <c r="AI286" s="75">
        <f t="shared" si="359"/>
        <v>17567</v>
      </c>
      <c r="AJ286" s="75">
        <f t="shared" si="359"/>
        <v>0</v>
      </c>
      <c r="AK286" s="75">
        <f t="shared" si="359"/>
        <v>0</v>
      </c>
      <c r="AL286" s="75">
        <f t="shared" si="359"/>
        <v>17567</v>
      </c>
      <c r="AM286" s="75">
        <f t="shared" si="359"/>
        <v>0</v>
      </c>
      <c r="AN286" s="75">
        <f t="shared" si="359"/>
        <v>0</v>
      </c>
      <c r="AO286" s="75">
        <f t="shared" si="359"/>
        <v>0</v>
      </c>
      <c r="AP286" s="75">
        <f t="shared" si="359"/>
        <v>0</v>
      </c>
      <c r="AQ286" s="75">
        <f t="shared" si="359"/>
        <v>0</v>
      </c>
      <c r="AR286" s="75">
        <f t="shared" si="359"/>
        <v>17567</v>
      </c>
      <c r="AS286" s="75">
        <f t="shared" si="359"/>
        <v>0</v>
      </c>
      <c r="AT286" s="76">
        <f>AT287+AT288</f>
        <v>0</v>
      </c>
      <c r="AU286" s="76">
        <f>AU287+AU288</f>
        <v>0</v>
      </c>
      <c r="AV286" s="76">
        <f>AV287+AV288</f>
        <v>0</v>
      </c>
      <c r="AW286" s="76">
        <f>AW287+AW288</f>
        <v>17567</v>
      </c>
      <c r="AX286" s="76">
        <f aca="true" t="shared" si="360" ref="AX286:BV286">AX287+AX288</f>
        <v>0</v>
      </c>
      <c r="AY286" s="75">
        <f t="shared" si="360"/>
        <v>-2363</v>
      </c>
      <c r="AZ286" s="75">
        <f t="shared" si="360"/>
        <v>0</v>
      </c>
      <c r="BA286" s="75">
        <f t="shared" si="360"/>
        <v>0</v>
      </c>
      <c r="BB286" s="75">
        <f t="shared" si="360"/>
        <v>0</v>
      </c>
      <c r="BC286" s="75">
        <f t="shared" si="360"/>
        <v>0</v>
      </c>
      <c r="BD286" s="75">
        <f t="shared" si="360"/>
        <v>15204</v>
      </c>
      <c r="BE286" s="75">
        <f t="shared" si="360"/>
        <v>0</v>
      </c>
      <c r="BF286" s="75">
        <f t="shared" si="360"/>
        <v>0</v>
      </c>
      <c r="BG286" s="75">
        <f t="shared" si="360"/>
        <v>0</v>
      </c>
      <c r="BH286" s="75">
        <f t="shared" si="360"/>
        <v>0</v>
      </c>
      <c r="BI286" s="75">
        <f t="shared" si="360"/>
        <v>15204</v>
      </c>
      <c r="BJ286" s="75">
        <f t="shared" si="360"/>
        <v>0</v>
      </c>
      <c r="BK286" s="75">
        <f t="shared" si="360"/>
        <v>0</v>
      </c>
      <c r="BL286" s="75">
        <f t="shared" si="360"/>
        <v>0</v>
      </c>
      <c r="BM286" s="75">
        <f t="shared" si="360"/>
        <v>0</v>
      </c>
      <c r="BN286" s="75">
        <f t="shared" si="360"/>
        <v>0</v>
      </c>
      <c r="BO286" s="75">
        <f t="shared" si="360"/>
        <v>15204</v>
      </c>
      <c r="BP286" s="75">
        <f t="shared" si="360"/>
        <v>0</v>
      </c>
      <c r="BQ286" s="75">
        <f t="shared" si="360"/>
        <v>-1</v>
      </c>
      <c r="BR286" s="75"/>
      <c r="BS286" s="75">
        <f t="shared" si="360"/>
        <v>0</v>
      </c>
      <c r="BT286" s="75">
        <f t="shared" si="360"/>
        <v>0</v>
      </c>
      <c r="BU286" s="75">
        <f t="shared" si="360"/>
        <v>15203</v>
      </c>
      <c r="BV286" s="75">
        <f t="shared" si="360"/>
        <v>0</v>
      </c>
      <c r="BW286" s="75">
        <f>BW287+BW288</f>
        <v>15116</v>
      </c>
      <c r="BX286" s="75">
        <f>BX287+BX288</f>
        <v>0</v>
      </c>
      <c r="BY286" s="77">
        <f t="shared" si="349"/>
        <v>99.42774452410708</v>
      </c>
      <c r="BZ286" s="72"/>
    </row>
    <row r="287" spans="1:78" s="21" customFormat="1" ht="75" customHeight="1" hidden="1">
      <c r="A287" s="88" t="s">
        <v>138</v>
      </c>
      <c r="B287" s="89" t="s">
        <v>136</v>
      </c>
      <c r="C287" s="89" t="s">
        <v>136</v>
      </c>
      <c r="D287" s="90" t="s">
        <v>122</v>
      </c>
      <c r="E287" s="89" t="s">
        <v>139</v>
      </c>
      <c r="F287" s="99">
        <v>12454</v>
      </c>
      <c r="G287" s="75">
        <f>H287-F287</f>
        <v>3373</v>
      </c>
      <c r="H287" s="100">
        <f>9106+800-7+457+5501-30</f>
        <v>15827</v>
      </c>
      <c r="I287" s="161"/>
      <c r="J287" s="161"/>
      <c r="K287" s="161"/>
      <c r="L287" s="161"/>
      <c r="M287" s="75">
        <f>H287+J287+K287+L287</f>
        <v>15827</v>
      </c>
      <c r="N287" s="78">
        <f>I287+L287</f>
        <v>0</v>
      </c>
      <c r="O287" s="161"/>
      <c r="P287" s="161"/>
      <c r="Q287" s="134"/>
      <c r="R287" s="134"/>
      <c r="S287" s="75">
        <f>M287+O287+P287+Q287+R287</f>
        <v>15827</v>
      </c>
      <c r="T287" s="75">
        <f>N287+R287</f>
        <v>0</v>
      </c>
      <c r="U287" s="134"/>
      <c r="V287" s="134"/>
      <c r="W287" s="134"/>
      <c r="X287" s="75"/>
      <c r="Y287" s="75"/>
      <c r="Z287" s="134"/>
      <c r="AA287" s="134"/>
      <c r="AB287" s="75">
        <f>S287+U287+V287+W287+X287+Y287+Z287+AA287</f>
        <v>15827</v>
      </c>
      <c r="AC287" s="75">
        <f>T287+Z287+AA287</f>
        <v>0</v>
      </c>
      <c r="AD287" s="134"/>
      <c r="AE287" s="134"/>
      <c r="AF287" s="75">
        <f>-1150-1907</f>
        <v>-3057</v>
      </c>
      <c r="AG287" s="134"/>
      <c r="AH287" s="134"/>
      <c r="AI287" s="75">
        <f>AB287+AD287+AE287+AF287+AG287+AH287</f>
        <v>12770</v>
      </c>
      <c r="AJ287" s="75">
        <f>AC287+AH287</f>
        <v>0</v>
      </c>
      <c r="AK287" s="134"/>
      <c r="AL287" s="75">
        <f>AI287+AK287</f>
        <v>12770</v>
      </c>
      <c r="AM287" s="75">
        <f>AJ287</f>
        <v>0</v>
      </c>
      <c r="AN287" s="134"/>
      <c r="AO287" s="134"/>
      <c r="AP287" s="134"/>
      <c r="AQ287" s="134"/>
      <c r="AR287" s="75">
        <f>AL287+AN287+AO287+AP287+AQ287</f>
        <v>12770</v>
      </c>
      <c r="AS287" s="75">
        <f>AM287+AQ287</f>
        <v>0</v>
      </c>
      <c r="AT287" s="140"/>
      <c r="AU287" s="140"/>
      <c r="AV287" s="140"/>
      <c r="AW287" s="76">
        <f>AV287+AU287+AT287+AR287</f>
        <v>12770</v>
      </c>
      <c r="AX287" s="76">
        <f>AV287+AS287</f>
        <v>0</v>
      </c>
      <c r="AY287" s="75">
        <f>-1300-15</f>
        <v>-1315</v>
      </c>
      <c r="AZ287" s="136"/>
      <c r="BA287" s="136"/>
      <c r="BB287" s="136"/>
      <c r="BC287" s="136"/>
      <c r="BD287" s="75">
        <f>AW287+AY287+AZ287+BA287+BB287+BC287</f>
        <v>11455</v>
      </c>
      <c r="BE287" s="75">
        <f>AX287+BC287</f>
        <v>0</v>
      </c>
      <c r="BF287" s="134"/>
      <c r="BG287" s="134"/>
      <c r="BH287" s="134"/>
      <c r="BI287" s="75">
        <f>BD287+BF287+BG287+BH287</f>
        <v>11455</v>
      </c>
      <c r="BJ287" s="75">
        <f>BE287+BH287</f>
        <v>0</v>
      </c>
      <c r="BK287" s="137"/>
      <c r="BL287" s="137"/>
      <c r="BM287" s="137"/>
      <c r="BN287" s="137"/>
      <c r="BO287" s="75">
        <f>BI287+BK287+BL287+BM287+BN287</f>
        <v>11455</v>
      </c>
      <c r="BP287" s="75">
        <f>BJ287+BN287</f>
        <v>0</v>
      </c>
      <c r="BQ287" s="78">
        <v>-1</v>
      </c>
      <c r="BR287" s="78"/>
      <c r="BS287" s="134"/>
      <c r="BT287" s="134"/>
      <c r="BU287" s="75">
        <f>BO287+BQ287+BS287+BT287</f>
        <v>11454</v>
      </c>
      <c r="BV287" s="75">
        <f>BP287+BT287</f>
        <v>0</v>
      </c>
      <c r="BW287" s="75">
        <v>11368</v>
      </c>
      <c r="BX287" s="75">
        <f>BR287+BV287</f>
        <v>0</v>
      </c>
      <c r="BY287" s="77">
        <f t="shared" si="349"/>
        <v>99.24917059542517</v>
      </c>
      <c r="BZ287" s="72"/>
    </row>
    <row r="288" spans="1:78" s="21" customFormat="1" ht="76.5" customHeight="1" hidden="1">
      <c r="A288" s="88" t="s">
        <v>265</v>
      </c>
      <c r="B288" s="89" t="s">
        <v>136</v>
      </c>
      <c r="C288" s="89" t="s">
        <v>136</v>
      </c>
      <c r="D288" s="90" t="s">
        <v>282</v>
      </c>
      <c r="E288" s="89"/>
      <c r="F288" s="99"/>
      <c r="G288" s="75">
        <f>G289</f>
        <v>4797</v>
      </c>
      <c r="H288" s="75">
        <f>H289</f>
        <v>4797</v>
      </c>
      <c r="I288" s="75">
        <f aca="true" t="shared" si="361" ref="I288:BW288">I289</f>
        <v>0</v>
      </c>
      <c r="J288" s="75">
        <f t="shared" si="361"/>
        <v>0</v>
      </c>
      <c r="K288" s="75">
        <f t="shared" si="361"/>
        <v>0</v>
      </c>
      <c r="L288" s="75">
        <f t="shared" si="361"/>
        <v>0</v>
      </c>
      <c r="M288" s="75">
        <f t="shared" si="361"/>
        <v>4797</v>
      </c>
      <c r="N288" s="75">
        <f t="shared" si="361"/>
        <v>0</v>
      </c>
      <c r="O288" s="75">
        <f t="shared" si="361"/>
        <v>0</v>
      </c>
      <c r="P288" s="75"/>
      <c r="Q288" s="75">
        <f t="shared" si="361"/>
        <v>0</v>
      </c>
      <c r="R288" s="75">
        <f t="shared" si="361"/>
        <v>0</v>
      </c>
      <c r="S288" s="75">
        <f t="shared" si="361"/>
        <v>4797</v>
      </c>
      <c r="T288" s="75">
        <f t="shared" si="361"/>
        <v>0</v>
      </c>
      <c r="U288" s="75">
        <f t="shared" si="361"/>
        <v>0</v>
      </c>
      <c r="V288" s="75">
        <f t="shared" si="361"/>
        <v>0</v>
      </c>
      <c r="W288" s="75">
        <f t="shared" si="361"/>
        <v>0</v>
      </c>
      <c r="X288" s="75">
        <f t="shared" si="361"/>
        <v>0</v>
      </c>
      <c r="Y288" s="75">
        <f t="shared" si="361"/>
        <v>0</v>
      </c>
      <c r="Z288" s="75">
        <f t="shared" si="361"/>
        <v>0</v>
      </c>
      <c r="AA288" s="75">
        <f t="shared" si="361"/>
        <v>0</v>
      </c>
      <c r="AB288" s="75">
        <f t="shared" si="361"/>
        <v>4797</v>
      </c>
      <c r="AC288" s="75">
        <f t="shared" si="361"/>
        <v>0</v>
      </c>
      <c r="AD288" s="75">
        <f t="shared" si="361"/>
        <v>0</v>
      </c>
      <c r="AE288" s="75">
        <f t="shared" si="361"/>
        <v>0</v>
      </c>
      <c r="AF288" s="75">
        <f t="shared" si="361"/>
        <v>0</v>
      </c>
      <c r="AG288" s="75">
        <f t="shared" si="361"/>
        <v>0</v>
      </c>
      <c r="AH288" s="75">
        <f t="shared" si="361"/>
        <v>0</v>
      </c>
      <c r="AI288" s="75">
        <f t="shared" si="361"/>
        <v>4797</v>
      </c>
      <c r="AJ288" s="75">
        <f t="shared" si="361"/>
        <v>0</v>
      </c>
      <c r="AK288" s="75">
        <f t="shared" si="361"/>
        <v>0</v>
      </c>
      <c r="AL288" s="75">
        <f t="shared" si="361"/>
        <v>4797</v>
      </c>
      <c r="AM288" s="75">
        <f t="shared" si="361"/>
        <v>0</v>
      </c>
      <c r="AN288" s="75">
        <f t="shared" si="361"/>
        <v>0</v>
      </c>
      <c r="AO288" s="75">
        <f t="shared" si="361"/>
        <v>0</v>
      </c>
      <c r="AP288" s="75">
        <f t="shared" si="361"/>
        <v>0</v>
      </c>
      <c r="AQ288" s="75">
        <f t="shared" si="361"/>
        <v>0</v>
      </c>
      <c r="AR288" s="75">
        <f t="shared" si="361"/>
        <v>4797</v>
      </c>
      <c r="AS288" s="75">
        <f t="shared" si="361"/>
        <v>0</v>
      </c>
      <c r="AT288" s="76">
        <f t="shared" si="361"/>
        <v>0</v>
      </c>
      <c r="AU288" s="76">
        <f t="shared" si="361"/>
        <v>0</v>
      </c>
      <c r="AV288" s="76">
        <f t="shared" si="361"/>
        <v>0</v>
      </c>
      <c r="AW288" s="76">
        <f t="shared" si="361"/>
        <v>4797</v>
      </c>
      <c r="AX288" s="76">
        <f t="shared" si="361"/>
        <v>0</v>
      </c>
      <c r="AY288" s="75">
        <f t="shared" si="361"/>
        <v>-1048</v>
      </c>
      <c r="AZ288" s="75">
        <f t="shared" si="361"/>
        <v>0</v>
      </c>
      <c r="BA288" s="75">
        <f t="shared" si="361"/>
        <v>0</v>
      </c>
      <c r="BB288" s="75">
        <f t="shared" si="361"/>
        <v>0</v>
      </c>
      <c r="BC288" s="75">
        <f t="shared" si="361"/>
        <v>0</v>
      </c>
      <c r="BD288" s="75">
        <f t="shared" si="361"/>
        <v>3749</v>
      </c>
      <c r="BE288" s="75">
        <f t="shared" si="361"/>
        <v>0</v>
      </c>
      <c r="BF288" s="75">
        <f t="shared" si="361"/>
        <v>0</v>
      </c>
      <c r="BG288" s="75">
        <f t="shared" si="361"/>
        <v>0</v>
      </c>
      <c r="BH288" s="75">
        <f t="shared" si="361"/>
        <v>0</v>
      </c>
      <c r="BI288" s="75">
        <f t="shared" si="361"/>
        <v>3749</v>
      </c>
      <c r="BJ288" s="75">
        <f t="shared" si="361"/>
        <v>0</v>
      </c>
      <c r="BK288" s="75">
        <f t="shared" si="361"/>
        <v>0</v>
      </c>
      <c r="BL288" s="75">
        <f t="shared" si="361"/>
        <v>0</v>
      </c>
      <c r="BM288" s="75">
        <f t="shared" si="361"/>
        <v>0</v>
      </c>
      <c r="BN288" s="75">
        <f t="shared" si="361"/>
        <v>0</v>
      </c>
      <c r="BO288" s="75">
        <f t="shared" si="361"/>
        <v>3749</v>
      </c>
      <c r="BP288" s="75">
        <f t="shared" si="361"/>
        <v>0</v>
      </c>
      <c r="BQ288" s="75">
        <f t="shared" si="361"/>
        <v>0</v>
      </c>
      <c r="BR288" s="75"/>
      <c r="BS288" s="75">
        <f t="shared" si="361"/>
        <v>0</v>
      </c>
      <c r="BT288" s="75">
        <f t="shared" si="361"/>
        <v>0</v>
      </c>
      <c r="BU288" s="75">
        <f t="shared" si="361"/>
        <v>3749</v>
      </c>
      <c r="BV288" s="75">
        <f>BV289</f>
        <v>0</v>
      </c>
      <c r="BW288" s="75">
        <f t="shared" si="361"/>
        <v>3748</v>
      </c>
      <c r="BX288" s="75">
        <f>BX289</f>
        <v>0</v>
      </c>
      <c r="BY288" s="77">
        <f t="shared" si="349"/>
        <v>99.97332622032542</v>
      </c>
      <c r="BZ288" s="72"/>
    </row>
    <row r="289" spans="1:78" s="21" customFormat="1" ht="94.5" customHeight="1" hidden="1">
      <c r="A289" s="143" t="s">
        <v>270</v>
      </c>
      <c r="B289" s="89" t="s">
        <v>136</v>
      </c>
      <c r="C289" s="89" t="s">
        <v>136</v>
      </c>
      <c r="D289" s="90" t="s">
        <v>282</v>
      </c>
      <c r="E289" s="89" t="s">
        <v>271</v>
      </c>
      <c r="F289" s="99"/>
      <c r="G289" s="75">
        <f>H289-F289</f>
        <v>4797</v>
      </c>
      <c r="H289" s="100">
        <v>4797</v>
      </c>
      <c r="I289" s="161"/>
      <c r="J289" s="161"/>
      <c r="K289" s="161"/>
      <c r="L289" s="161"/>
      <c r="M289" s="75">
        <f>H289+J289+K289+L289</f>
        <v>4797</v>
      </c>
      <c r="N289" s="78">
        <f>I289+L289</f>
        <v>0</v>
      </c>
      <c r="O289" s="161"/>
      <c r="P289" s="161"/>
      <c r="Q289" s="134"/>
      <c r="R289" s="134"/>
      <c r="S289" s="75">
        <f>M289+O289+P289+Q289+R289</f>
        <v>4797</v>
      </c>
      <c r="T289" s="75">
        <f>N289+R289</f>
        <v>0</v>
      </c>
      <c r="U289" s="134"/>
      <c r="V289" s="134"/>
      <c r="W289" s="134"/>
      <c r="X289" s="134"/>
      <c r="Y289" s="134"/>
      <c r="Z289" s="134"/>
      <c r="AA289" s="134"/>
      <c r="AB289" s="75">
        <f>S289+U289+V289+W289+X289+Y289+Z289+AA289</f>
        <v>4797</v>
      </c>
      <c r="AC289" s="75">
        <f>T289+Z289+AA289</f>
        <v>0</v>
      </c>
      <c r="AD289" s="134"/>
      <c r="AE289" s="134"/>
      <c r="AF289" s="136"/>
      <c r="AG289" s="134"/>
      <c r="AH289" s="134"/>
      <c r="AI289" s="75">
        <f>AB289+AD289+AE289+AF289+AG289+AH289</f>
        <v>4797</v>
      </c>
      <c r="AJ289" s="75">
        <f>AC289+AH289</f>
        <v>0</v>
      </c>
      <c r="AK289" s="134"/>
      <c r="AL289" s="75">
        <f>AI289+AK289</f>
        <v>4797</v>
      </c>
      <c r="AM289" s="75">
        <f>AJ289</f>
        <v>0</v>
      </c>
      <c r="AN289" s="134"/>
      <c r="AO289" s="134"/>
      <c r="AP289" s="134"/>
      <c r="AQ289" s="134"/>
      <c r="AR289" s="75">
        <f>AL289+AN289+AO289+AP289+AQ289</f>
        <v>4797</v>
      </c>
      <c r="AS289" s="75">
        <f>AM289+AQ289</f>
        <v>0</v>
      </c>
      <c r="AT289" s="140"/>
      <c r="AU289" s="140"/>
      <c r="AV289" s="140"/>
      <c r="AW289" s="76">
        <f>AV289+AU289+AT289+AR289</f>
        <v>4797</v>
      </c>
      <c r="AX289" s="76">
        <f>AV289+AS289</f>
        <v>0</v>
      </c>
      <c r="AY289" s="75">
        <v>-1048</v>
      </c>
      <c r="AZ289" s="136"/>
      <c r="BA289" s="136"/>
      <c r="BB289" s="136"/>
      <c r="BC289" s="136"/>
      <c r="BD289" s="75">
        <f>AW289+AY289+AZ289+BA289+BB289+BC289</f>
        <v>3749</v>
      </c>
      <c r="BE289" s="75">
        <f>AX289+BC289</f>
        <v>0</v>
      </c>
      <c r="BF289" s="134"/>
      <c r="BG289" s="134"/>
      <c r="BH289" s="134"/>
      <c r="BI289" s="75">
        <f>BD289+BF289+BG289+BH289</f>
        <v>3749</v>
      </c>
      <c r="BJ289" s="75">
        <f>BE289+BH289</f>
        <v>0</v>
      </c>
      <c r="BK289" s="137"/>
      <c r="BL289" s="137"/>
      <c r="BM289" s="137"/>
      <c r="BN289" s="137"/>
      <c r="BO289" s="75">
        <f>BI289+BK289+BL289+BM289+BN289</f>
        <v>3749</v>
      </c>
      <c r="BP289" s="75">
        <f>BJ289+BN289</f>
        <v>0</v>
      </c>
      <c r="BQ289" s="134"/>
      <c r="BR289" s="134"/>
      <c r="BS289" s="134"/>
      <c r="BT289" s="134"/>
      <c r="BU289" s="75">
        <f>BO289+BQ289+BS289+BT289</f>
        <v>3749</v>
      </c>
      <c r="BV289" s="75">
        <f>BP289+BT289</f>
        <v>0</v>
      </c>
      <c r="BW289" s="75">
        <v>3748</v>
      </c>
      <c r="BX289" s="75">
        <f>BR289+BV289</f>
        <v>0</v>
      </c>
      <c r="BY289" s="77">
        <f t="shared" si="349"/>
        <v>99.97332622032542</v>
      </c>
      <c r="BZ289" s="72"/>
    </row>
    <row r="290" spans="1:78" s="21" customFormat="1" ht="15" customHeight="1">
      <c r="A290" s="88"/>
      <c r="B290" s="89"/>
      <c r="C290" s="89"/>
      <c r="D290" s="90"/>
      <c r="E290" s="89"/>
      <c r="F290" s="162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34"/>
      <c r="R290" s="134"/>
      <c r="S290" s="136"/>
      <c r="T290" s="136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6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40"/>
      <c r="AU290" s="140"/>
      <c r="AV290" s="140"/>
      <c r="AW290" s="140"/>
      <c r="AX290" s="140"/>
      <c r="AY290" s="136"/>
      <c r="AZ290" s="136"/>
      <c r="BA290" s="136"/>
      <c r="BB290" s="136"/>
      <c r="BC290" s="136"/>
      <c r="BD290" s="137"/>
      <c r="BE290" s="137"/>
      <c r="BF290" s="134"/>
      <c r="BG290" s="134"/>
      <c r="BH290" s="134"/>
      <c r="BI290" s="134"/>
      <c r="BJ290" s="134"/>
      <c r="BK290" s="137"/>
      <c r="BL290" s="137"/>
      <c r="BM290" s="137"/>
      <c r="BN290" s="137"/>
      <c r="BO290" s="137"/>
      <c r="BP290" s="137"/>
      <c r="BQ290" s="134"/>
      <c r="BR290" s="134"/>
      <c r="BS290" s="134"/>
      <c r="BT290" s="134"/>
      <c r="BU290" s="134"/>
      <c r="BV290" s="134"/>
      <c r="BW290" s="134"/>
      <c r="BX290" s="134"/>
      <c r="BY290" s="72"/>
      <c r="BZ290" s="72"/>
    </row>
    <row r="291" spans="1:78" s="21" customFormat="1" ht="21.75" customHeight="1">
      <c r="A291" s="66" t="s">
        <v>77</v>
      </c>
      <c r="B291" s="67" t="s">
        <v>136</v>
      </c>
      <c r="C291" s="67" t="s">
        <v>148</v>
      </c>
      <c r="D291" s="85"/>
      <c r="E291" s="67"/>
      <c r="F291" s="69">
        <f aca="true" t="shared" si="362" ref="F291:M291">F294+F292+F299+F301</f>
        <v>208160</v>
      </c>
      <c r="G291" s="69">
        <f t="shared" si="362"/>
        <v>22825</v>
      </c>
      <c r="H291" s="69">
        <f t="shared" si="362"/>
        <v>230985</v>
      </c>
      <c r="I291" s="69">
        <f t="shared" si="362"/>
        <v>0</v>
      </c>
      <c r="J291" s="69">
        <f t="shared" si="362"/>
        <v>205100</v>
      </c>
      <c r="K291" s="69">
        <f t="shared" si="362"/>
        <v>0</v>
      </c>
      <c r="L291" s="69">
        <f t="shared" si="362"/>
        <v>0</v>
      </c>
      <c r="M291" s="69">
        <f t="shared" si="362"/>
        <v>436085</v>
      </c>
      <c r="N291" s="69">
        <f aca="true" t="shared" si="363" ref="N291:S291">N294+N292+N299+N301</f>
        <v>0</v>
      </c>
      <c r="O291" s="69">
        <f t="shared" si="363"/>
        <v>0</v>
      </c>
      <c r="P291" s="69">
        <f t="shared" si="363"/>
        <v>0</v>
      </c>
      <c r="Q291" s="69">
        <f t="shared" si="363"/>
        <v>0</v>
      </c>
      <c r="R291" s="69">
        <f t="shared" si="363"/>
        <v>0</v>
      </c>
      <c r="S291" s="69">
        <f t="shared" si="363"/>
        <v>436085</v>
      </c>
      <c r="T291" s="69">
        <f aca="true" t="shared" si="364" ref="T291:AC291">T294+T292+T299+T301</f>
        <v>0</v>
      </c>
      <c r="U291" s="69">
        <f t="shared" si="364"/>
        <v>0</v>
      </c>
      <c r="V291" s="69">
        <f t="shared" si="364"/>
        <v>0</v>
      </c>
      <c r="W291" s="69">
        <f t="shared" si="364"/>
        <v>0</v>
      </c>
      <c r="X291" s="69">
        <f t="shared" si="364"/>
        <v>0</v>
      </c>
      <c r="Y291" s="69">
        <f t="shared" si="364"/>
        <v>0</v>
      </c>
      <c r="Z291" s="69">
        <f t="shared" si="364"/>
        <v>0</v>
      </c>
      <c r="AA291" s="69">
        <f t="shared" si="364"/>
        <v>166290</v>
      </c>
      <c r="AB291" s="69">
        <f t="shared" si="364"/>
        <v>602375</v>
      </c>
      <c r="AC291" s="69">
        <f t="shared" si="364"/>
        <v>166290</v>
      </c>
      <c r="AD291" s="69">
        <f aca="true" t="shared" si="365" ref="AD291:AJ291">AD294+AD292+AD299+AD301</f>
        <v>8</v>
      </c>
      <c r="AE291" s="69">
        <f t="shared" si="365"/>
        <v>238</v>
      </c>
      <c r="AF291" s="69">
        <f t="shared" si="365"/>
        <v>-77646</v>
      </c>
      <c r="AG291" s="69">
        <f t="shared" si="365"/>
        <v>0</v>
      </c>
      <c r="AH291" s="69">
        <f t="shared" si="365"/>
        <v>0</v>
      </c>
      <c r="AI291" s="69">
        <f t="shared" si="365"/>
        <v>524975</v>
      </c>
      <c r="AJ291" s="69">
        <f t="shared" si="365"/>
        <v>166290</v>
      </c>
      <c r="AK291" s="69">
        <f aca="true" t="shared" si="366" ref="AK291:AS291">AK294+AK292+AK299+AK301</f>
        <v>0</v>
      </c>
      <c r="AL291" s="69">
        <f t="shared" si="366"/>
        <v>524975</v>
      </c>
      <c r="AM291" s="69">
        <f t="shared" si="366"/>
        <v>166290</v>
      </c>
      <c r="AN291" s="69">
        <f t="shared" si="366"/>
        <v>0</v>
      </c>
      <c r="AO291" s="69">
        <f>AO294+AO292+AO299+AO301</f>
        <v>-48</v>
      </c>
      <c r="AP291" s="69">
        <f t="shared" si="366"/>
        <v>4</v>
      </c>
      <c r="AQ291" s="69">
        <f t="shared" si="366"/>
        <v>80398</v>
      </c>
      <c r="AR291" s="69">
        <f t="shared" si="366"/>
        <v>605329</v>
      </c>
      <c r="AS291" s="69">
        <f t="shared" si="366"/>
        <v>246688</v>
      </c>
      <c r="AT291" s="70">
        <f aca="true" t="shared" si="367" ref="AT291:BE291">AT294+AT292+AT299+AT301</f>
        <v>-3221</v>
      </c>
      <c r="AU291" s="70">
        <f t="shared" si="367"/>
        <v>0</v>
      </c>
      <c r="AV291" s="70">
        <f t="shared" si="367"/>
        <v>0</v>
      </c>
      <c r="AW291" s="70">
        <f t="shared" si="367"/>
        <v>602108</v>
      </c>
      <c r="AX291" s="70">
        <f t="shared" si="367"/>
        <v>246688</v>
      </c>
      <c r="AY291" s="69">
        <f t="shared" si="367"/>
        <v>-9862</v>
      </c>
      <c r="AZ291" s="69">
        <f>AZ294+AZ292+AZ299+AZ301</f>
        <v>0</v>
      </c>
      <c r="BA291" s="69">
        <f>BA294+BA292+BA299+BA301</f>
        <v>0</v>
      </c>
      <c r="BB291" s="69">
        <f>BB294+BB292+BB299+BB301</f>
        <v>0</v>
      </c>
      <c r="BC291" s="69">
        <f t="shared" si="367"/>
        <v>0</v>
      </c>
      <c r="BD291" s="69">
        <f t="shared" si="367"/>
        <v>592246</v>
      </c>
      <c r="BE291" s="69">
        <f t="shared" si="367"/>
        <v>246688</v>
      </c>
      <c r="BF291" s="69">
        <f>BF294+BF292+BF299+BF301</f>
        <v>0</v>
      </c>
      <c r="BG291" s="69">
        <f>BG294+BG292+BG299+BG301</f>
        <v>0</v>
      </c>
      <c r="BH291" s="69">
        <f>BH294+BH292+BH299+BH301</f>
        <v>0</v>
      </c>
      <c r="BI291" s="69">
        <f>BI294+BI292+BI299+BI301</f>
        <v>592246</v>
      </c>
      <c r="BJ291" s="69">
        <f>BJ294+BJ292+BJ299+BJ301</f>
        <v>246688</v>
      </c>
      <c r="BK291" s="69">
        <f aca="true" t="shared" si="368" ref="BK291:BP291">BK294+BK292+BK299+BK301</f>
        <v>2</v>
      </c>
      <c r="BL291" s="69">
        <f t="shared" si="368"/>
        <v>0</v>
      </c>
      <c r="BM291" s="69">
        <f t="shared" si="368"/>
        <v>1760</v>
      </c>
      <c r="BN291" s="69">
        <f t="shared" si="368"/>
        <v>0</v>
      </c>
      <c r="BO291" s="69">
        <f t="shared" si="368"/>
        <v>594008</v>
      </c>
      <c r="BP291" s="69">
        <f t="shared" si="368"/>
        <v>246688</v>
      </c>
      <c r="BQ291" s="69">
        <f>BQ294+BQ292+BQ299+BQ301</f>
        <v>-3356</v>
      </c>
      <c r="BR291" s="69"/>
      <c r="BS291" s="69">
        <f aca="true" t="shared" si="369" ref="BS291:BX291">BS294+BS292+BS299+BS301</f>
        <v>0</v>
      </c>
      <c r="BT291" s="69">
        <f t="shared" si="369"/>
        <v>33312</v>
      </c>
      <c r="BU291" s="69">
        <f t="shared" si="369"/>
        <v>623964</v>
      </c>
      <c r="BV291" s="69">
        <f t="shared" si="369"/>
        <v>280000</v>
      </c>
      <c r="BW291" s="69">
        <f t="shared" si="369"/>
        <v>619061</v>
      </c>
      <c r="BX291" s="69">
        <f t="shared" si="369"/>
        <v>280000</v>
      </c>
      <c r="BY291" s="71">
        <f t="shared" si="349"/>
        <v>99.21421748690629</v>
      </c>
      <c r="BZ291" s="71">
        <f>BX291/BV291*100</f>
        <v>100</v>
      </c>
    </row>
    <row r="292" spans="1:78" s="21" customFormat="1" ht="52.5" customHeight="1" hidden="1">
      <c r="A292" s="88" t="s">
        <v>78</v>
      </c>
      <c r="B292" s="89" t="s">
        <v>136</v>
      </c>
      <c r="C292" s="89" t="s">
        <v>148</v>
      </c>
      <c r="D292" s="90" t="s">
        <v>79</v>
      </c>
      <c r="E292" s="89"/>
      <c r="F292" s="91">
        <f>F293</f>
        <v>75684</v>
      </c>
      <c r="G292" s="91">
        <f>G293</f>
        <v>8872</v>
      </c>
      <c r="H292" s="91">
        <f>H293</f>
        <v>84556</v>
      </c>
      <c r="I292" s="91">
        <f aca="true" t="shared" si="370" ref="I292:BW292">I293</f>
        <v>0</v>
      </c>
      <c r="J292" s="91">
        <f t="shared" si="370"/>
        <v>-3613</v>
      </c>
      <c r="K292" s="91">
        <f t="shared" si="370"/>
        <v>0</v>
      </c>
      <c r="L292" s="91">
        <f t="shared" si="370"/>
        <v>0</v>
      </c>
      <c r="M292" s="91">
        <f t="shared" si="370"/>
        <v>80943</v>
      </c>
      <c r="N292" s="91">
        <f t="shared" si="370"/>
        <v>0</v>
      </c>
      <c r="O292" s="91">
        <f t="shared" si="370"/>
        <v>0</v>
      </c>
      <c r="P292" s="91">
        <f t="shared" si="370"/>
        <v>0</v>
      </c>
      <c r="Q292" s="91">
        <f t="shared" si="370"/>
        <v>0</v>
      </c>
      <c r="R292" s="91">
        <f t="shared" si="370"/>
        <v>0</v>
      </c>
      <c r="S292" s="91">
        <f t="shared" si="370"/>
        <v>80943</v>
      </c>
      <c r="T292" s="91">
        <f t="shared" si="370"/>
        <v>0</v>
      </c>
      <c r="U292" s="91">
        <f t="shared" si="370"/>
        <v>0</v>
      </c>
      <c r="V292" s="91">
        <f t="shared" si="370"/>
        <v>0</v>
      </c>
      <c r="W292" s="91">
        <f t="shared" si="370"/>
        <v>0</v>
      </c>
      <c r="X292" s="91">
        <f t="shared" si="370"/>
        <v>0</v>
      </c>
      <c r="Y292" s="91">
        <f t="shared" si="370"/>
        <v>0</v>
      </c>
      <c r="Z292" s="91">
        <f t="shared" si="370"/>
        <v>0</v>
      </c>
      <c r="AA292" s="91">
        <f t="shared" si="370"/>
        <v>0</v>
      </c>
      <c r="AB292" s="91">
        <f t="shared" si="370"/>
        <v>80943</v>
      </c>
      <c r="AC292" s="91">
        <f t="shared" si="370"/>
        <v>0</v>
      </c>
      <c r="AD292" s="91">
        <f t="shared" si="370"/>
        <v>4</v>
      </c>
      <c r="AE292" s="91">
        <f t="shared" si="370"/>
        <v>129</v>
      </c>
      <c r="AF292" s="91">
        <f t="shared" si="370"/>
        <v>-9341</v>
      </c>
      <c r="AG292" s="91">
        <f t="shared" si="370"/>
        <v>0</v>
      </c>
      <c r="AH292" s="91">
        <f t="shared" si="370"/>
        <v>0</v>
      </c>
      <c r="AI292" s="91">
        <f t="shared" si="370"/>
        <v>71735</v>
      </c>
      <c r="AJ292" s="91">
        <f t="shared" si="370"/>
        <v>0</v>
      </c>
      <c r="AK292" s="91">
        <f t="shared" si="370"/>
        <v>0</v>
      </c>
      <c r="AL292" s="91">
        <f t="shared" si="370"/>
        <v>71735</v>
      </c>
      <c r="AM292" s="91">
        <f t="shared" si="370"/>
        <v>0</v>
      </c>
      <c r="AN292" s="91">
        <f t="shared" si="370"/>
        <v>0</v>
      </c>
      <c r="AO292" s="91">
        <f t="shared" si="370"/>
        <v>-19</v>
      </c>
      <c r="AP292" s="91">
        <f t="shared" si="370"/>
        <v>2</v>
      </c>
      <c r="AQ292" s="91">
        <f t="shared" si="370"/>
        <v>0</v>
      </c>
      <c r="AR292" s="91">
        <f t="shared" si="370"/>
        <v>71718</v>
      </c>
      <c r="AS292" s="91">
        <f t="shared" si="370"/>
        <v>0</v>
      </c>
      <c r="AT292" s="92">
        <f t="shared" si="370"/>
        <v>100</v>
      </c>
      <c r="AU292" s="92">
        <f t="shared" si="370"/>
        <v>0</v>
      </c>
      <c r="AV292" s="92">
        <f t="shared" si="370"/>
        <v>0</v>
      </c>
      <c r="AW292" s="92">
        <f t="shared" si="370"/>
        <v>71818</v>
      </c>
      <c r="AX292" s="92">
        <f t="shared" si="370"/>
        <v>0</v>
      </c>
      <c r="AY292" s="91">
        <f t="shared" si="370"/>
        <v>-3060</v>
      </c>
      <c r="AZ292" s="91">
        <f t="shared" si="370"/>
        <v>0</v>
      </c>
      <c r="BA292" s="91">
        <f t="shared" si="370"/>
        <v>0</v>
      </c>
      <c r="BB292" s="91">
        <f t="shared" si="370"/>
        <v>0</v>
      </c>
      <c r="BC292" s="91">
        <f t="shared" si="370"/>
        <v>0</v>
      </c>
      <c r="BD292" s="91">
        <f t="shared" si="370"/>
        <v>68758</v>
      </c>
      <c r="BE292" s="91">
        <f t="shared" si="370"/>
        <v>0</v>
      </c>
      <c r="BF292" s="91">
        <f t="shared" si="370"/>
        <v>0</v>
      </c>
      <c r="BG292" s="91">
        <f t="shared" si="370"/>
        <v>0</v>
      </c>
      <c r="BH292" s="91">
        <f t="shared" si="370"/>
        <v>0</v>
      </c>
      <c r="BI292" s="91">
        <f t="shared" si="370"/>
        <v>68758</v>
      </c>
      <c r="BJ292" s="91">
        <f t="shared" si="370"/>
        <v>0</v>
      </c>
      <c r="BK292" s="91">
        <f t="shared" si="370"/>
        <v>2</v>
      </c>
      <c r="BL292" s="91">
        <f t="shared" si="370"/>
        <v>0</v>
      </c>
      <c r="BM292" s="91">
        <f t="shared" si="370"/>
        <v>0</v>
      </c>
      <c r="BN292" s="91">
        <f t="shared" si="370"/>
        <v>0</v>
      </c>
      <c r="BO292" s="91">
        <f t="shared" si="370"/>
        <v>68760</v>
      </c>
      <c r="BP292" s="91">
        <f t="shared" si="370"/>
        <v>0</v>
      </c>
      <c r="BQ292" s="91">
        <f t="shared" si="370"/>
        <v>-2</v>
      </c>
      <c r="BR292" s="91"/>
      <c r="BS292" s="91">
        <f t="shared" si="370"/>
        <v>0</v>
      </c>
      <c r="BT292" s="91">
        <f t="shared" si="370"/>
        <v>0</v>
      </c>
      <c r="BU292" s="91">
        <f t="shared" si="370"/>
        <v>68758</v>
      </c>
      <c r="BV292" s="91">
        <f>BV293</f>
        <v>0</v>
      </c>
      <c r="BW292" s="91">
        <f t="shared" si="370"/>
        <v>67249</v>
      </c>
      <c r="BX292" s="91">
        <f>BX293</f>
        <v>0</v>
      </c>
      <c r="BY292" s="77">
        <f t="shared" si="349"/>
        <v>97.80534628697751</v>
      </c>
      <c r="BZ292" s="60"/>
    </row>
    <row r="293" spans="1:78" s="21" customFormat="1" ht="45.75" customHeight="1" hidden="1">
      <c r="A293" s="88" t="s">
        <v>129</v>
      </c>
      <c r="B293" s="89" t="s">
        <v>136</v>
      </c>
      <c r="C293" s="89" t="s">
        <v>148</v>
      </c>
      <c r="D293" s="90" t="s">
        <v>79</v>
      </c>
      <c r="E293" s="89" t="s">
        <v>130</v>
      </c>
      <c r="F293" s="99">
        <v>75684</v>
      </c>
      <c r="G293" s="75">
        <f>H293-F293</f>
        <v>8872</v>
      </c>
      <c r="H293" s="100">
        <f>64660-125+20021</f>
        <v>84556</v>
      </c>
      <c r="I293" s="163"/>
      <c r="J293" s="100">
        <v>-3613</v>
      </c>
      <c r="K293" s="163"/>
      <c r="L293" s="163"/>
      <c r="M293" s="75">
        <f>H293+J293+K293+L293</f>
        <v>80943</v>
      </c>
      <c r="N293" s="78">
        <f>I293+L293</f>
        <v>0</v>
      </c>
      <c r="O293" s="163"/>
      <c r="P293" s="100"/>
      <c r="Q293" s="78"/>
      <c r="R293" s="134"/>
      <c r="S293" s="75">
        <f>M293+O293+P293+Q293+R293</f>
        <v>80943</v>
      </c>
      <c r="T293" s="75">
        <f>N293+R293</f>
        <v>0</v>
      </c>
      <c r="U293" s="78"/>
      <c r="V293" s="78"/>
      <c r="W293" s="134"/>
      <c r="X293" s="134"/>
      <c r="Y293" s="134"/>
      <c r="Z293" s="134"/>
      <c r="AA293" s="134"/>
      <c r="AB293" s="75">
        <f>S293+U293+V293+W293+X293+Y293+Z293+AA293</f>
        <v>80943</v>
      </c>
      <c r="AC293" s="75">
        <f>T293+Z293+AA293</f>
        <v>0</v>
      </c>
      <c r="AD293" s="78">
        <f>2+2</f>
        <v>4</v>
      </c>
      <c r="AE293" s="78">
        <f>125+4</f>
        <v>129</v>
      </c>
      <c r="AF293" s="75">
        <f>-6576-2765</f>
        <v>-9341</v>
      </c>
      <c r="AG293" s="134"/>
      <c r="AH293" s="134"/>
      <c r="AI293" s="75">
        <f>AB293+AD293+AE293+AF293+AG293+AH293</f>
        <v>71735</v>
      </c>
      <c r="AJ293" s="75">
        <f>AC293+AH293</f>
        <v>0</v>
      </c>
      <c r="AK293" s="134"/>
      <c r="AL293" s="75">
        <f>AI293+AK293</f>
        <v>71735</v>
      </c>
      <c r="AM293" s="75">
        <f>AJ293</f>
        <v>0</v>
      </c>
      <c r="AN293" s="134"/>
      <c r="AO293" s="78">
        <f>-23+4</f>
        <v>-19</v>
      </c>
      <c r="AP293" s="78">
        <f>1+1</f>
        <v>2</v>
      </c>
      <c r="AQ293" s="134"/>
      <c r="AR293" s="75">
        <f>AL293+AN293+AO293+AP293+AQ293</f>
        <v>71718</v>
      </c>
      <c r="AS293" s="75">
        <f>AM293+AQ293</f>
        <v>0</v>
      </c>
      <c r="AT293" s="81">
        <v>100</v>
      </c>
      <c r="AU293" s="81"/>
      <c r="AV293" s="81"/>
      <c r="AW293" s="76">
        <f>AV293+AU293+AT293+AR293</f>
        <v>71818</v>
      </c>
      <c r="AX293" s="76">
        <f>AV293+AS293</f>
        <v>0</v>
      </c>
      <c r="AY293" s="75">
        <f>-1906-1154</f>
        <v>-3060</v>
      </c>
      <c r="AZ293" s="136"/>
      <c r="BA293" s="136"/>
      <c r="BB293" s="136"/>
      <c r="BC293" s="136"/>
      <c r="BD293" s="75">
        <f>AW293+AY293+AZ293+BA293+BB293+BC293</f>
        <v>68758</v>
      </c>
      <c r="BE293" s="75">
        <f>AX293+BC293</f>
        <v>0</v>
      </c>
      <c r="BF293" s="134"/>
      <c r="BG293" s="134"/>
      <c r="BH293" s="134"/>
      <c r="BI293" s="75">
        <f>BD293+BF293+BG293+BH293</f>
        <v>68758</v>
      </c>
      <c r="BJ293" s="75">
        <f>BE293+BH293</f>
        <v>0</v>
      </c>
      <c r="BK293" s="78">
        <v>2</v>
      </c>
      <c r="BL293" s="137"/>
      <c r="BM293" s="137"/>
      <c r="BN293" s="137"/>
      <c r="BO293" s="75">
        <f>BI293+BK293+BL293+BM293+BN293</f>
        <v>68760</v>
      </c>
      <c r="BP293" s="75">
        <f>BJ293+BN293</f>
        <v>0</v>
      </c>
      <c r="BQ293" s="78">
        <v>-2</v>
      </c>
      <c r="BR293" s="78"/>
      <c r="BS293" s="134"/>
      <c r="BT293" s="134"/>
      <c r="BU293" s="75">
        <f>BO293+BQ293+BS293+BT293</f>
        <v>68758</v>
      </c>
      <c r="BV293" s="75">
        <f>BP293+BT293</f>
        <v>0</v>
      </c>
      <c r="BW293" s="75">
        <v>67249</v>
      </c>
      <c r="BX293" s="75">
        <f>BR293+BV293</f>
        <v>0</v>
      </c>
      <c r="BY293" s="77">
        <f t="shared" si="349"/>
        <v>97.80534628697751</v>
      </c>
      <c r="BZ293" s="60"/>
    </row>
    <row r="294" spans="1:78" s="11" customFormat="1" ht="18.75" customHeight="1" hidden="1">
      <c r="A294" s="88" t="s">
        <v>254</v>
      </c>
      <c r="B294" s="89" t="s">
        <v>136</v>
      </c>
      <c r="C294" s="89" t="s">
        <v>148</v>
      </c>
      <c r="D294" s="90" t="s">
        <v>169</v>
      </c>
      <c r="E294" s="89"/>
      <c r="F294" s="75">
        <f>F295+F297</f>
        <v>122486</v>
      </c>
      <c r="G294" s="75">
        <f>G295+G297</f>
        <v>44</v>
      </c>
      <c r="H294" s="75">
        <f>H295+H297</f>
        <v>122530</v>
      </c>
      <c r="I294" s="75">
        <f aca="true" t="shared" si="371" ref="I294:S294">I295+I297</f>
        <v>0</v>
      </c>
      <c r="J294" s="75">
        <f t="shared" si="371"/>
        <v>-2530</v>
      </c>
      <c r="K294" s="75">
        <f t="shared" si="371"/>
        <v>0</v>
      </c>
      <c r="L294" s="75">
        <f t="shared" si="371"/>
        <v>0</v>
      </c>
      <c r="M294" s="75">
        <f t="shared" si="371"/>
        <v>120000</v>
      </c>
      <c r="N294" s="75">
        <f t="shared" si="371"/>
        <v>0</v>
      </c>
      <c r="O294" s="75">
        <f t="shared" si="371"/>
        <v>0</v>
      </c>
      <c r="P294" s="75"/>
      <c r="Q294" s="75">
        <f t="shared" si="371"/>
        <v>0</v>
      </c>
      <c r="R294" s="75">
        <f t="shared" si="371"/>
        <v>0</v>
      </c>
      <c r="S294" s="75">
        <f t="shared" si="371"/>
        <v>120000</v>
      </c>
      <c r="T294" s="75">
        <f aca="true" t="shared" si="372" ref="T294:AC294">T295+T297</f>
        <v>0</v>
      </c>
      <c r="U294" s="75">
        <f t="shared" si="372"/>
        <v>0</v>
      </c>
      <c r="V294" s="75">
        <f t="shared" si="372"/>
        <v>0</v>
      </c>
      <c r="W294" s="75">
        <f t="shared" si="372"/>
        <v>0</v>
      </c>
      <c r="X294" s="75">
        <f t="shared" si="372"/>
        <v>0</v>
      </c>
      <c r="Y294" s="75">
        <f t="shared" si="372"/>
        <v>0</v>
      </c>
      <c r="Z294" s="75">
        <f t="shared" si="372"/>
        <v>0</v>
      </c>
      <c r="AA294" s="75">
        <f t="shared" si="372"/>
        <v>166290</v>
      </c>
      <c r="AB294" s="75">
        <f t="shared" si="372"/>
        <v>286290</v>
      </c>
      <c r="AC294" s="75">
        <f t="shared" si="372"/>
        <v>166290</v>
      </c>
      <c r="AD294" s="75">
        <f aca="true" t="shared" si="373" ref="AD294:AJ294">AD295+AD297</f>
        <v>0</v>
      </c>
      <c r="AE294" s="75">
        <f t="shared" si="373"/>
        <v>0</v>
      </c>
      <c r="AF294" s="75">
        <f t="shared" si="373"/>
        <v>-8640</v>
      </c>
      <c r="AG294" s="75">
        <f t="shared" si="373"/>
        <v>0</v>
      </c>
      <c r="AH294" s="75">
        <f t="shared" si="373"/>
        <v>0</v>
      </c>
      <c r="AI294" s="75">
        <f t="shared" si="373"/>
        <v>277650</v>
      </c>
      <c r="AJ294" s="75">
        <f t="shared" si="373"/>
        <v>166290</v>
      </c>
      <c r="AK294" s="75">
        <f aca="true" t="shared" si="374" ref="AK294:AS294">AK295+AK297</f>
        <v>0</v>
      </c>
      <c r="AL294" s="75">
        <f t="shared" si="374"/>
        <v>277650</v>
      </c>
      <c r="AM294" s="75">
        <f t="shared" si="374"/>
        <v>166290</v>
      </c>
      <c r="AN294" s="75">
        <f t="shared" si="374"/>
        <v>0</v>
      </c>
      <c r="AO294" s="75">
        <f>AO295+AO297</f>
        <v>0</v>
      </c>
      <c r="AP294" s="75">
        <f t="shared" si="374"/>
        <v>0</v>
      </c>
      <c r="AQ294" s="75">
        <f t="shared" si="374"/>
        <v>80398</v>
      </c>
      <c r="AR294" s="75">
        <f t="shared" si="374"/>
        <v>358048</v>
      </c>
      <c r="AS294" s="75">
        <f t="shared" si="374"/>
        <v>246688</v>
      </c>
      <c r="AT294" s="76">
        <f aca="true" t="shared" si="375" ref="AT294:BE294">AT295+AT297</f>
        <v>0</v>
      </c>
      <c r="AU294" s="76">
        <f t="shared" si="375"/>
        <v>0</v>
      </c>
      <c r="AV294" s="76">
        <f t="shared" si="375"/>
        <v>0</v>
      </c>
      <c r="AW294" s="76">
        <f t="shared" si="375"/>
        <v>358048</v>
      </c>
      <c r="AX294" s="76">
        <f t="shared" si="375"/>
        <v>246688</v>
      </c>
      <c r="AY294" s="75">
        <f t="shared" si="375"/>
        <v>0</v>
      </c>
      <c r="AZ294" s="75">
        <f>AZ295+AZ297</f>
        <v>0</v>
      </c>
      <c r="BA294" s="75">
        <f>BA295+BA297</f>
        <v>0</v>
      </c>
      <c r="BB294" s="75">
        <f>BB295+BB297</f>
        <v>0</v>
      </c>
      <c r="BC294" s="75">
        <f t="shared" si="375"/>
        <v>0</v>
      </c>
      <c r="BD294" s="75">
        <f t="shared" si="375"/>
        <v>358048</v>
      </c>
      <c r="BE294" s="75">
        <f t="shared" si="375"/>
        <v>246688</v>
      </c>
      <c r="BF294" s="75">
        <f>BF295+BF297</f>
        <v>0</v>
      </c>
      <c r="BG294" s="75">
        <f>BG295+BG297</f>
        <v>0</v>
      </c>
      <c r="BH294" s="75">
        <f>BH295+BH297</f>
        <v>0</v>
      </c>
      <c r="BI294" s="75">
        <f>BI295+BI297</f>
        <v>358048</v>
      </c>
      <c r="BJ294" s="75">
        <f>BJ295+BJ297</f>
        <v>246688</v>
      </c>
      <c r="BK294" s="75">
        <f aca="true" t="shared" si="376" ref="BK294:BP294">BK295+BK297</f>
        <v>0</v>
      </c>
      <c r="BL294" s="75">
        <f t="shared" si="376"/>
        <v>0</v>
      </c>
      <c r="BM294" s="75">
        <f t="shared" si="376"/>
        <v>0</v>
      </c>
      <c r="BN294" s="75">
        <f t="shared" si="376"/>
        <v>0</v>
      </c>
      <c r="BO294" s="75">
        <f t="shared" si="376"/>
        <v>358048</v>
      </c>
      <c r="BP294" s="75">
        <f t="shared" si="376"/>
        <v>246688</v>
      </c>
      <c r="BQ294" s="75">
        <f>BQ295+BQ297</f>
        <v>0</v>
      </c>
      <c r="BR294" s="75"/>
      <c r="BS294" s="75">
        <f aca="true" t="shared" si="377" ref="BS294:BX294">BS295+BS297</f>
        <v>0</v>
      </c>
      <c r="BT294" s="75">
        <f t="shared" si="377"/>
        <v>33312</v>
      </c>
      <c r="BU294" s="75">
        <f t="shared" si="377"/>
        <v>391360</v>
      </c>
      <c r="BV294" s="75">
        <f t="shared" si="377"/>
        <v>280000</v>
      </c>
      <c r="BW294" s="75">
        <f t="shared" si="377"/>
        <v>391360</v>
      </c>
      <c r="BX294" s="75">
        <f t="shared" si="377"/>
        <v>280000</v>
      </c>
      <c r="BY294" s="77">
        <f t="shared" si="349"/>
        <v>100</v>
      </c>
      <c r="BZ294" s="77">
        <f t="shared" si="349"/>
        <v>100</v>
      </c>
    </row>
    <row r="295" spans="1:78" s="13" customFormat="1" ht="23.25" customHeight="1" hidden="1">
      <c r="A295" s="88" t="s">
        <v>224</v>
      </c>
      <c r="B295" s="89" t="s">
        <v>136</v>
      </c>
      <c r="C295" s="89" t="s">
        <v>148</v>
      </c>
      <c r="D295" s="90" t="s">
        <v>182</v>
      </c>
      <c r="E295" s="89"/>
      <c r="F295" s="75">
        <f>F296</f>
        <v>2486</v>
      </c>
      <c r="G295" s="75">
        <f>G296</f>
        <v>44</v>
      </c>
      <c r="H295" s="75">
        <f>H296</f>
        <v>2530</v>
      </c>
      <c r="I295" s="75">
        <f aca="true" t="shared" si="378" ref="I295:N295">I296</f>
        <v>0</v>
      </c>
      <c r="J295" s="75">
        <f t="shared" si="378"/>
        <v>-2530</v>
      </c>
      <c r="K295" s="75">
        <f t="shared" si="378"/>
        <v>0</v>
      </c>
      <c r="L295" s="75">
        <f t="shared" si="378"/>
        <v>0</v>
      </c>
      <c r="M295" s="75">
        <f t="shared" si="378"/>
        <v>0</v>
      </c>
      <c r="N295" s="75">
        <f t="shared" si="378"/>
        <v>0</v>
      </c>
      <c r="O295" s="111"/>
      <c r="P295" s="111"/>
      <c r="Q295" s="112"/>
      <c r="R295" s="112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64"/>
      <c r="AU295" s="164"/>
      <c r="AV295" s="164"/>
      <c r="AW295" s="164"/>
      <c r="AX295" s="164"/>
      <c r="AY295" s="114"/>
      <c r="AZ295" s="114"/>
      <c r="BA295" s="114"/>
      <c r="BB295" s="114"/>
      <c r="BC295" s="114"/>
      <c r="BD295" s="114"/>
      <c r="BE295" s="114"/>
      <c r="BF295" s="114"/>
      <c r="BG295" s="114"/>
      <c r="BH295" s="114"/>
      <c r="BI295" s="114"/>
      <c r="BJ295" s="114"/>
      <c r="BK295" s="114"/>
      <c r="BL295" s="114"/>
      <c r="BM295" s="114"/>
      <c r="BN295" s="114"/>
      <c r="BO295" s="114"/>
      <c r="BP295" s="114"/>
      <c r="BQ295" s="114"/>
      <c r="BR295" s="114"/>
      <c r="BS295" s="114"/>
      <c r="BT295" s="114"/>
      <c r="BU295" s="114"/>
      <c r="BV295" s="114"/>
      <c r="BW295" s="114"/>
      <c r="BX295" s="114"/>
      <c r="BY295" s="77" t="e">
        <f t="shared" si="349"/>
        <v>#DIV/0!</v>
      </c>
      <c r="BZ295" s="77" t="e">
        <f t="shared" si="349"/>
        <v>#DIV/0!</v>
      </c>
    </row>
    <row r="296" spans="1:78" s="13" customFormat="1" ht="30" customHeight="1" hidden="1">
      <c r="A296" s="88" t="s">
        <v>403</v>
      </c>
      <c r="B296" s="89" t="s">
        <v>136</v>
      </c>
      <c r="C296" s="89" t="s">
        <v>148</v>
      </c>
      <c r="D296" s="90" t="s">
        <v>182</v>
      </c>
      <c r="E296" s="89" t="s">
        <v>145</v>
      </c>
      <c r="F296" s="99">
        <v>2486</v>
      </c>
      <c r="G296" s="75">
        <f>H296-F296</f>
        <v>44</v>
      </c>
      <c r="H296" s="100">
        <v>2530</v>
      </c>
      <c r="I296" s="111"/>
      <c r="J296" s="100">
        <v>-2530</v>
      </c>
      <c r="K296" s="111"/>
      <c r="L296" s="111"/>
      <c r="M296" s="75">
        <f>H296+J296+K296+L296</f>
        <v>0</v>
      </c>
      <c r="N296" s="78">
        <f>I296+L296</f>
        <v>0</v>
      </c>
      <c r="O296" s="111"/>
      <c r="P296" s="111"/>
      <c r="Q296" s="112"/>
      <c r="R296" s="112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64"/>
      <c r="AU296" s="164"/>
      <c r="AV296" s="164"/>
      <c r="AW296" s="164"/>
      <c r="AX296" s="164"/>
      <c r="AY296" s="114"/>
      <c r="AZ296" s="114"/>
      <c r="BA296" s="114"/>
      <c r="BB296" s="114"/>
      <c r="BC296" s="114"/>
      <c r="BD296" s="114"/>
      <c r="BE296" s="114"/>
      <c r="BF296" s="114"/>
      <c r="BG296" s="114"/>
      <c r="BH296" s="114"/>
      <c r="BI296" s="114"/>
      <c r="BJ296" s="114"/>
      <c r="BK296" s="114"/>
      <c r="BL296" s="114"/>
      <c r="BM296" s="114"/>
      <c r="BN296" s="114"/>
      <c r="BO296" s="114"/>
      <c r="BP296" s="114"/>
      <c r="BQ296" s="114"/>
      <c r="BR296" s="114"/>
      <c r="BS296" s="114"/>
      <c r="BT296" s="114"/>
      <c r="BU296" s="114"/>
      <c r="BV296" s="114"/>
      <c r="BW296" s="114"/>
      <c r="BX296" s="114"/>
      <c r="BY296" s="77" t="e">
        <f t="shared" si="349"/>
        <v>#DIV/0!</v>
      </c>
      <c r="BZ296" s="77" t="e">
        <f t="shared" si="349"/>
        <v>#DIV/0!</v>
      </c>
    </row>
    <row r="297" spans="1:78" s="14" customFormat="1" ht="47.25" customHeight="1" hidden="1">
      <c r="A297" s="88" t="s">
        <v>225</v>
      </c>
      <c r="B297" s="89" t="s">
        <v>136</v>
      </c>
      <c r="C297" s="89" t="s">
        <v>148</v>
      </c>
      <c r="D297" s="90" t="s">
        <v>183</v>
      </c>
      <c r="E297" s="89"/>
      <c r="F297" s="75">
        <f>F298</f>
        <v>120000</v>
      </c>
      <c r="G297" s="75">
        <f>G298</f>
        <v>0</v>
      </c>
      <c r="H297" s="75">
        <f>H298</f>
        <v>120000</v>
      </c>
      <c r="I297" s="75">
        <f aca="true" t="shared" si="379" ref="I297:BW297">I298</f>
        <v>0</v>
      </c>
      <c r="J297" s="75">
        <f t="shared" si="379"/>
        <v>0</v>
      </c>
      <c r="K297" s="75">
        <f t="shared" si="379"/>
        <v>0</v>
      </c>
      <c r="L297" s="75">
        <f t="shared" si="379"/>
        <v>0</v>
      </c>
      <c r="M297" s="75">
        <f t="shared" si="379"/>
        <v>120000</v>
      </c>
      <c r="N297" s="75">
        <f t="shared" si="379"/>
        <v>0</v>
      </c>
      <c r="O297" s="75">
        <f t="shared" si="379"/>
        <v>0</v>
      </c>
      <c r="P297" s="75"/>
      <c r="Q297" s="75">
        <f t="shared" si="379"/>
        <v>0</v>
      </c>
      <c r="R297" s="75">
        <f t="shared" si="379"/>
        <v>0</v>
      </c>
      <c r="S297" s="75">
        <f t="shared" si="379"/>
        <v>120000</v>
      </c>
      <c r="T297" s="75">
        <f t="shared" si="379"/>
        <v>0</v>
      </c>
      <c r="U297" s="75">
        <f t="shared" si="379"/>
        <v>0</v>
      </c>
      <c r="V297" s="75">
        <f t="shared" si="379"/>
        <v>0</v>
      </c>
      <c r="W297" s="75">
        <f t="shared" si="379"/>
        <v>0</v>
      </c>
      <c r="X297" s="75">
        <f t="shared" si="379"/>
        <v>0</v>
      </c>
      <c r="Y297" s="75">
        <f t="shared" si="379"/>
        <v>0</v>
      </c>
      <c r="Z297" s="75">
        <f t="shared" si="379"/>
        <v>0</v>
      </c>
      <c r="AA297" s="75">
        <f t="shared" si="379"/>
        <v>166290</v>
      </c>
      <c r="AB297" s="75">
        <f t="shared" si="379"/>
        <v>286290</v>
      </c>
      <c r="AC297" s="75">
        <f t="shared" si="379"/>
        <v>166290</v>
      </c>
      <c r="AD297" s="75">
        <f t="shared" si="379"/>
        <v>0</v>
      </c>
      <c r="AE297" s="75">
        <f t="shared" si="379"/>
        <v>0</v>
      </c>
      <c r="AF297" s="75">
        <f t="shared" si="379"/>
        <v>-8640</v>
      </c>
      <c r="AG297" s="75">
        <f t="shared" si="379"/>
        <v>0</v>
      </c>
      <c r="AH297" s="75">
        <f t="shared" si="379"/>
        <v>0</v>
      </c>
      <c r="AI297" s="75">
        <f t="shared" si="379"/>
        <v>277650</v>
      </c>
      <c r="AJ297" s="75">
        <f t="shared" si="379"/>
        <v>166290</v>
      </c>
      <c r="AK297" s="75">
        <f t="shared" si="379"/>
        <v>0</v>
      </c>
      <c r="AL297" s="75">
        <f t="shared" si="379"/>
        <v>277650</v>
      </c>
      <c r="AM297" s="75">
        <f t="shared" si="379"/>
        <v>166290</v>
      </c>
      <c r="AN297" s="75">
        <f t="shared" si="379"/>
        <v>0</v>
      </c>
      <c r="AO297" s="75">
        <f t="shared" si="379"/>
        <v>0</v>
      </c>
      <c r="AP297" s="75">
        <f t="shared" si="379"/>
        <v>0</v>
      </c>
      <c r="AQ297" s="75">
        <f t="shared" si="379"/>
        <v>80398</v>
      </c>
      <c r="AR297" s="75">
        <f t="shared" si="379"/>
        <v>358048</v>
      </c>
      <c r="AS297" s="75">
        <f t="shared" si="379"/>
        <v>246688</v>
      </c>
      <c r="AT297" s="76">
        <f t="shared" si="379"/>
        <v>0</v>
      </c>
      <c r="AU297" s="76">
        <f t="shared" si="379"/>
        <v>0</v>
      </c>
      <c r="AV297" s="76">
        <f t="shared" si="379"/>
        <v>0</v>
      </c>
      <c r="AW297" s="76">
        <f t="shared" si="379"/>
        <v>358048</v>
      </c>
      <c r="AX297" s="76">
        <f t="shared" si="379"/>
        <v>246688</v>
      </c>
      <c r="AY297" s="75">
        <f t="shared" si="379"/>
        <v>0</v>
      </c>
      <c r="AZ297" s="75">
        <f t="shared" si="379"/>
        <v>0</v>
      </c>
      <c r="BA297" s="75">
        <f t="shared" si="379"/>
        <v>0</v>
      </c>
      <c r="BB297" s="75">
        <f t="shared" si="379"/>
        <v>0</v>
      </c>
      <c r="BC297" s="75">
        <f t="shared" si="379"/>
        <v>0</v>
      </c>
      <c r="BD297" s="75">
        <f t="shared" si="379"/>
        <v>358048</v>
      </c>
      <c r="BE297" s="75">
        <f t="shared" si="379"/>
        <v>246688</v>
      </c>
      <c r="BF297" s="75">
        <f t="shared" si="379"/>
        <v>0</v>
      </c>
      <c r="BG297" s="75">
        <f t="shared" si="379"/>
        <v>0</v>
      </c>
      <c r="BH297" s="75">
        <f t="shared" si="379"/>
        <v>0</v>
      </c>
      <c r="BI297" s="75">
        <f t="shared" si="379"/>
        <v>358048</v>
      </c>
      <c r="BJ297" s="75">
        <f t="shared" si="379"/>
        <v>246688</v>
      </c>
      <c r="BK297" s="75">
        <f t="shared" si="379"/>
        <v>0</v>
      </c>
      <c r="BL297" s="75">
        <f t="shared" si="379"/>
        <v>0</v>
      </c>
      <c r="BM297" s="75">
        <f t="shared" si="379"/>
        <v>0</v>
      </c>
      <c r="BN297" s="75">
        <f t="shared" si="379"/>
        <v>0</v>
      </c>
      <c r="BO297" s="75">
        <f t="shared" si="379"/>
        <v>358048</v>
      </c>
      <c r="BP297" s="75">
        <f t="shared" si="379"/>
        <v>246688</v>
      </c>
      <c r="BQ297" s="75">
        <f t="shared" si="379"/>
        <v>0</v>
      </c>
      <c r="BR297" s="75"/>
      <c r="BS297" s="75">
        <f t="shared" si="379"/>
        <v>0</v>
      </c>
      <c r="BT297" s="75">
        <f t="shared" si="379"/>
        <v>33312</v>
      </c>
      <c r="BU297" s="75">
        <f t="shared" si="379"/>
        <v>391360</v>
      </c>
      <c r="BV297" s="75">
        <f>BV298</f>
        <v>280000</v>
      </c>
      <c r="BW297" s="75">
        <f t="shared" si="379"/>
        <v>391360</v>
      </c>
      <c r="BX297" s="75">
        <f>BX298</f>
        <v>280000</v>
      </c>
      <c r="BY297" s="77">
        <f t="shared" si="349"/>
        <v>100</v>
      </c>
      <c r="BZ297" s="77">
        <f t="shared" si="349"/>
        <v>100</v>
      </c>
    </row>
    <row r="298" spans="1:78" s="14" customFormat="1" ht="91.5" customHeight="1" hidden="1">
      <c r="A298" s="88" t="s">
        <v>359</v>
      </c>
      <c r="B298" s="89" t="s">
        <v>136</v>
      </c>
      <c r="C298" s="89" t="s">
        <v>148</v>
      </c>
      <c r="D298" s="90" t="s">
        <v>183</v>
      </c>
      <c r="E298" s="89" t="s">
        <v>145</v>
      </c>
      <c r="F298" s="99">
        <v>120000</v>
      </c>
      <c r="G298" s="75">
        <f>H298-F298</f>
        <v>0</v>
      </c>
      <c r="H298" s="100">
        <v>120000</v>
      </c>
      <c r="I298" s="111"/>
      <c r="J298" s="111"/>
      <c r="K298" s="111"/>
      <c r="L298" s="111"/>
      <c r="M298" s="75">
        <f>H298+J298+K298+L298</f>
        <v>120000</v>
      </c>
      <c r="N298" s="78">
        <f>I298+L298</f>
        <v>0</v>
      </c>
      <c r="O298" s="111"/>
      <c r="P298" s="111"/>
      <c r="Q298" s="79"/>
      <c r="R298" s="79"/>
      <c r="S298" s="75">
        <f>M298+O298+P298+Q298+R298</f>
        <v>120000</v>
      </c>
      <c r="T298" s="75">
        <f>N298+R298</f>
        <v>0</v>
      </c>
      <c r="U298" s="79"/>
      <c r="V298" s="79"/>
      <c r="W298" s="79"/>
      <c r="X298" s="79"/>
      <c r="Y298" s="79"/>
      <c r="Z298" s="79"/>
      <c r="AA298" s="75">
        <v>166290</v>
      </c>
      <c r="AB298" s="75">
        <f>S298+U298+V298+W298+X298+Y298+Z298+AA298</f>
        <v>286290</v>
      </c>
      <c r="AC298" s="75">
        <f>T298+Z298+AA298</f>
        <v>166290</v>
      </c>
      <c r="AD298" s="79"/>
      <c r="AE298" s="79"/>
      <c r="AF298" s="75">
        <v>-8640</v>
      </c>
      <c r="AG298" s="79"/>
      <c r="AH298" s="79"/>
      <c r="AI298" s="75">
        <f>AB298+AD298+AE298+AF298+AG298+AH298</f>
        <v>277650</v>
      </c>
      <c r="AJ298" s="75">
        <f>AC298+AH298</f>
        <v>166290</v>
      </c>
      <c r="AK298" s="79"/>
      <c r="AL298" s="75">
        <f>AI298+AK298</f>
        <v>277650</v>
      </c>
      <c r="AM298" s="75">
        <f>AJ298</f>
        <v>166290</v>
      </c>
      <c r="AN298" s="79"/>
      <c r="AO298" s="79"/>
      <c r="AP298" s="79"/>
      <c r="AQ298" s="75">
        <v>80398</v>
      </c>
      <c r="AR298" s="75">
        <f>AL298+AN298+AO298+AP298+AQ298</f>
        <v>358048</v>
      </c>
      <c r="AS298" s="75">
        <f>AM298+AQ298</f>
        <v>246688</v>
      </c>
      <c r="AT298" s="76"/>
      <c r="AU298" s="76"/>
      <c r="AV298" s="76"/>
      <c r="AW298" s="76">
        <f>AV298+AU298+AT298+AR298</f>
        <v>358048</v>
      </c>
      <c r="AX298" s="76">
        <f>AV298+AS298</f>
        <v>246688</v>
      </c>
      <c r="AY298" s="75"/>
      <c r="AZ298" s="75"/>
      <c r="BA298" s="75"/>
      <c r="BB298" s="75"/>
      <c r="BC298" s="75"/>
      <c r="BD298" s="75">
        <f>AW298+AY298+AZ298+BA298+BB298+BC298</f>
        <v>358048</v>
      </c>
      <c r="BE298" s="75">
        <f>AX298+BC298</f>
        <v>246688</v>
      </c>
      <c r="BF298" s="79"/>
      <c r="BG298" s="79"/>
      <c r="BH298" s="79"/>
      <c r="BI298" s="75">
        <f>BD298+BF298+BG298+BH298</f>
        <v>358048</v>
      </c>
      <c r="BJ298" s="75">
        <f>BE298+BH298</f>
        <v>246688</v>
      </c>
      <c r="BK298" s="78"/>
      <c r="BL298" s="78"/>
      <c r="BM298" s="78"/>
      <c r="BN298" s="78"/>
      <c r="BO298" s="75">
        <f>BI298+BK298+BL298+BM298+BN298</f>
        <v>358048</v>
      </c>
      <c r="BP298" s="75">
        <f>BJ298+BN298</f>
        <v>246688</v>
      </c>
      <c r="BQ298" s="79"/>
      <c r="BR298" s="79"/>
      <c r="BS298" s="79"/>
      <c r="BT298" s="79">
        <v>33312</v>
      </c>
      <c r="BU298" s="75">
        <f>BO298+BQ298+BS298+BT298</f>
        <v>391360</v>
      </c>
      <c r="BV298" s="75">
        <f>BP298+BT298</f>
        <v>280000</v>
      </c>
      <c r="BW298" s="75">
        <v>391360</v>
      </c>
      <c r="BX298" s="75">
        <v>280000</v>
      </c>
      <c r="BY298" s="77">
        <f t="shared" si="349"/>
        <v>100</v>
      </c>
      <c r="BZ298" s="77">
        <f t="shared" si="349"/>
        <v>100</v>
      </c>
    </row>
    <row r="299" spans="1:78" s="21" customFormat="1" ht="99.75" customHeight="1" hidden="1">
      <c r="A299" s="88" t="s">
        <v>80</v>
      </c>
      <c r="B299" s="89" t="s">
        <v>136</v>
      </c>
      <c r="C299" s="89" t="s">
        <v>148</v>
      </c>
      <c r="D299" s="90" t="s">
        <v>81</v>
      </c>
      <c r="E299" s="89"/>
      <c r="F299" s="91">
        <f>F300</f>
        <v>9990</v>
      </c>
      <c r="G299" s="91">
        <f>G300</f>
        <v>1481</v>
      </c>
      <c r="H299" s="91">
        <f>H300</f>
        <v>11471</v>
      </c>
      <c r="I299" s="91">
        <f aca="true" t="shared" si="380" ref="I299:BW299">I300</f>
        <v>0</v>
      </c>
      <c r="J299" s="91">
        <f t="shared" si="380"/>
        <v>-397</v>
      </c>
      <c r="K299" s="91">
        <f t="shared" si="380"/>
        <v>0</v>
      </c>
      <c r="L299" s="91">
        <f t="shared" si="380"/>
        <v>0</v>
      </c>
      <c r="M299" s="91">
        <f t="shared" si="380"/>
        <v>11074</v>
      </c>
      <c r="N299" s="91">
        <f t="shared" si="380"/>
        <v>0</v>
      </c>
      <c r="O299" s="91">
        <f t="shared" si="380"/>
        <v>0</v>
      </c>
      <c r="P299" s="91">
        <f t="shared" si="380"/>
        <v>0</v>
      </c>
      <c r="Q299" s="91">
        <f t="shared" si="380"/>
        <v>0</v>
      </c>
      <c r="R299" s="91">
        <f t="shared" si="380"/>
        <v>0</v>
      </c>
      <c r="S299" s="91">
        <f t="shared" si="380"/>
        <v>11074</v>
      </c>
      <c r="T299" s="91">
        <f t="shared" si="380"/>
        <v>0</v>
      </c>
      <c r="U299" s="91">
        <f t="shared" si="380"/>
        <v>0</v>
      </c>
      <c r="V299" s="91">
        <f t="shared" si="380"/>
        <v>0</v>
      </c>
      <c r="W299" s="91">
        <f t="shared" si="380"/>
        <v>0</v>
      </c>
      <c r="X299" s="91">
        <f t="shared" si="380"/>
        <v>0</v>
      </c>
      <c r="Y299" s="91">
        <f t="shared" si="380"/>
        <v>0</v>
      </c>
      <c r="Z299" s="91">
        <f t="shared" si="380"/>
        <v>0</v>
      </c>
      <c r="AA299" s="91">
        <f t="shared" si="380"/>
        <v>0</v>
      </c>
      <c r="AB299" s="91">
        <f t="shared" si="380"/>
        <v>11074</v>
      </c>
      <c r="AC299" s="91">
        <f t="shared" si="380"/>
        <v>0</v>
      </c>
      <c r="AD299" s="91">
        <f t="shared" si="380"/>
        <v>4</v>
      </c>
      <c r="AE299" s="91">
        <f t="shared" si="380"/>
        <v>109</v>
      </c>
      <c r="AF299" s="91">
        <f t="shared" si="380"/>
        <v>-479</v>
      </c>
      <c r="AG299" s="91">
        <f t="shared" si="380"/>
        <v>0</v>
      </c>
      <c r="AH299" s="91">
        <f t="shared" si="380"/>
        <v>0</v>
      </c>
      <c r="AI299" s="91">
        <f t="shared" si="380"/>
        <v>10708</v>
      </c>
      <c r="AJ299" s="91">
        <f t="shared" si="380"/>
        <v>0</v>
      </c>
      <c r="AK299" s="91">
        <f t="shared" si="380"/>
        <v>0</v>
      </c>
      <c r="AL299" s="91">
        <f t="shared" si="380"/>
        <v>10708</v>
      </c>
      <c r="AM299" s="91">
        <f t="shared" si="380"/>
        <v>0</v>
      </c>
      <c r="AN299" s="91">
        <f t="shared" si="380"/>
        <v>0</v>
      </c>
      <c r="AO299" s="91">
        <f t="shared" si="380"/>
        <v>-29</v>
      </c>
      <c r="AP299" s="91">
        <f t="shared" si="380"/>
        <v>2</v>
      </c>
      <c r="AQ299" s="91">
        <f t="shared" si="380"/>
        <v>0</v>
      </c>
      <c r="AR299" s="91">
        <f t="shared" si="380"/>
        <v>10681</v>
      </c>
      <c r="AS299" s="91">
        <f t="shared" si="380"/>
        <v>0</v>
      </c>
      <c r="AT299" s="92">
        <f t="shared" si="380"/>
        <v>0</v>
      </c>
      <c r="AU299" s="92">
        <f t="shared" si="380"/>
        <v>0</v>
      </c>
      <c r="AV299" s="92">
        <f t="shared" si="380"/>
        <v>0</v>
      </c>
      <c r="AW299" s="92">
        <f t="shared" si="380"/>
        <v>10681</v>
      </c>
      <c r="AX299" s="92">
        <f t="shared" si="380"/>
        <v>0</v>
      </c>
      <c r="AY299" s="91">
        <f t="shared" si="380"/>
        <v>-221</v>
      </c>
      <c r="AZ299" s="91">
        <f t="shared" si="380"/>
        <v>0</v>
      </c>
      <c r="BA299" s="91">
        <f t="shared" si="380"/>
        <v>0</v>
      </c>
      <c r="BB299" s="91">
        <f t="shared" si="380"/>
        <v>0</v>
      </c>
      <c r="BC299" s="91">
        <f t="shared" si="380"/>
        <v>0</v>
      </c>
      <c r="BD299" s="91">
        <f t="shared" si="380"/>
        <v>10460</v>
      </c>
      <c r="BE299" s="91">
        <f t="shared" si="380"/>
        <v>0</v>
      </c>
      <c r="BF299" s="91">
        <f t="shared" si="380"/>
        <v>0</v>
      </c>
      <c r="BG299" s="91">
        <f t="shared" si="380"/>
        <v>0</v>
      </c>
      <c r="BH299" s="91">
        <f t="shared" si="380"/>
        <v>0</v>
      </c>
      <c r="BI299" s="91">
        <f t="shared" si="380"/>
        <v>10460</v>
      </c>
      <c r="BJ299" s="91">
        <f t="shared" si="380"/>
        <v>0</v>
      </c>
      <c r="BK299" s="91">
        <f t="shared" si="380"/>
        <v>0</v>
      </c>
      <c r="BL299" s="91">
        <f t="shared" si="380"/>
        <v>0</v>
      </c>
      <c r="BM299" s="91">
        <f t="shared" si="380"/>
        <v>0</v>
      </c>
      <c r="BN299" s="91">
        <f t="shared" si="380"/>
        <v>0</v>
      </c>
      <c r="BO299" s="91">
        <f t="shared" si="380"/>
        <v>10460</v>
      </c>
      <c r="BP299" s="91">
        <f t="shared" si="380"/>
        <v>0</v>
      </c>
      <c r="BQ299" s="91">
        <f t="shared" si="380"/>
        <v>0</v>
      </c>
      <c r="BR299" s="91"/>
      <c r="BS299" s="91">
        <f t="shared" si="380"/>
        <v>0</v>
      </c>
      <c r="BT299" s="91">
        <f t="shared" si="380"/>
        <v>0</v>
      </c>
      <c r="BU299" s="91">
        <f t="shared" si="380"/>
        <v>10460</v>
      </c>
      <c r="BV299" s="91">
        <f>BV300</f>
        <v>0</v>
      </c>
      <c r="BW299" s="91">
        <f t="shared" si="380"/>
        <v>10419</v>
      </c>
      <c r="BX299" s="91">
        <f>BX300</f>
        <v>0</v>
      </c>
      <c r="BY299" s="77">
        <f t="shared" si="349"/>
        <v>99.60803059273422</v>
      </c>
      <c r="BZ299" s="60"/>
    </row>
    <row r="300" spans="1:78" s="21" customFormat="1" ht="36" customHeight="1" hidden="1">
      <c r="A300" s="88" t="s">
        <v>129</v>
      </c>
      <c r="B300" s="89" t="s">
        <v>136</v>
      </c>
      <c r="C300" s="89" t="s">
        <v>148</v>
      </c>
      <c r="D300" s="90" t="s">
        <v>81</v>
      </c>
      <c r="E300" s="89" t="s">
        <v>130</v>
      </c>
      <c r="F300" s="99">
        <v>9990</v>
      </c>
      <c r="G300" s="75">
        <f>H300-F300</f>
        <v>1481</v>
      </c>
      <c r="H300" s="100">
        <f>11512-41</f>
        <v>11471</v>
      </c>
      <c r="I300" s="163"/>
      <c r="J300" s="100">
        <v>-397</v>
      </c>
      <c r="K300" s="163"/>
      <c r="L300" s="163"/>
      <c r="M300" s="75">
        <f>H300+J300+K300+L300</f>
        <v>11074</v>
      </c>
      <c r="N300" s="78">
        <f>I300+L300</f>
        <v>0</v>
      </c>
      <c r="O300" s="163"/>
      <c r="P300" s="100"/>
      <c r="Q300" s="78"/>
      <c r="R300" s="134"/>
      <c r="S300" s="75">
        <f>M300+O300+P300+Q300+R300</f>
        <v>11074</v>
      </c>
      <c r="T300" s="75">
        <f>N300+R300</f>
        <v>0</v>
      </c>
      <c r="U300" s="78"/>
      <c r="V300" s="78"/>
      <c r="W300" s="134"/>
      <c r="X300" s="134"/>
      <c r="Y300" s="134"/>
      <c r="Z300" s="134"/>
      <c r="AA300" s="134"/>
      <c r="AB300" s="75">
        <f>S300+U300+V300+W300+X300+Y300+Z300+AA300</f>
        <v>11074</v>
      </c>
      <c r="AC300" s="75">
        <f>T300+Z300+AA300</f>
        <v>0</v>
      </c>
      <c r="AD300" s="78">
        <v>4</v>
      </c>
      <c r="AE300" s="78">
        <v>109</v>
      </c>
      <c r="AF300" s="75">
        <v>-479</v>
      </c>
      <c r="AG300" s="134"/>
      <c r="AH300" s="134"/>
      <c r="AI300" s="75">
        <f>AB300+AD300+AE300+AF300+AG300+AH300</f>
        <v>10708</v>
      </c>
      <c r="AJ300" s="75">
        <f>AC300+AH300</f>
        <v>0</v>
      </c>
      <c r="AK300" s="134"/>
      <c r="AL300" s="75">
        <f>AI300+AK300</f>
        <v>10708</v>
      </c>
      <c r="AM300" s="75">
        <f>AJ300</f>
        <v>0</v>
      </c>
      <c r="AN300" s="134"/>
      <c r="AO300" s="78">
        <v>-29</v>
      </c>
      <c r="AP300" s="78">
        <v>2</v>
      </c>
      <c r="AQ300" s="134"/>
      <c r="AR300" s="75">
        <f>AL300+AN300+AO300+AP300+AQ300</f>
        <v>10681</v>
      </c>
      <c r="AS300" s="75">
        <f>AM300+AQ300</f>
        <v>0</v>
      </c>
      <c r="AT300" s="140"/>
      <c r="AU300" s="140"/>
      <c r="AV300" s="140"/>
      <c r="AW300" s="76">
        <f>AV300+AU300+AT300+AR300</f>
        <v>10681</v>
      </c>
      <c r="AX300" s="76">
        <f>AV300+AS300</f>
        <v>0</v>
      </c>
      <c r="AY300" s="75">
        <v>-221</v>
      </c>
      <c r="AZ300" s="136"/>
      <c r="BA300" s="136"/>
      <c r="BB300" s="136"/>
      <c r="BC300" s="136"/>
      <c r="BD300" s="75">
        <f>AW300+AY300+AZ300+BA300+BB300+BC300</f>
        <v>10460</v>
      </c>
      <c r="BE300" s="75">
        <f>AX300+BC300</f>
        <v>0</v>
      </c>
      <c r="BF300" s="134"/>
      <c r="BG300" s="134"/>
      <c r="BH300" s="134"/>
      <c r="BI300" s="75">
        <f>BD300+BF300+BG300+BH300</f>
        <v>10460</v>
      </c>
      <c r="BJ300" s="75">
        <f>BE300+BH300</f>
        <v>0</v>
      </c>
      <c r="BK300" s="78"/>
      <c r="BL300" s="78"/>
      <c r="BM300" s="137"/>
      <c r="BN300" s="137"/>
      <c r="BO300" s="75">
        <f>BI300+BK300+BL300+BM300+BN300</f>
        <v>10460</v>
      </c>
      <c r="BP300" s="75">
        <f>BJ300+BN300</f>
        <v>0</v>
      </c>
      <c r="BQ300" s="134"/>
      <c r="BR300" s="134"/>
      <c r="BS300" s="134"/>
      <c r="BT300" s="134"/>
      <c r="BU300" s="75">
        <f>BO300+BQ300+BS300+BT300</f>
        <v>10460</v>
      </c>
      <c r="BV300" s="75">
        <f>BP300+BT300</f>
        <v>0</v>
      </c>
      <c r="BW300" s="75">
        <v>10419</v>
      </c>
      <c r="BX300" s="75">
        <f>BR300+BV300</f>
        <v>0</v>
      </c>
      <c r="BY300" s="77">
        <f t="shared" si="349"/>
        <v>99.60803059273422</v>
      </c>
      <c r="BZ300" s="60"/>
    </row>
    <row r="301" spans="1:78" s="21" customFormat="1" ht="41.25" customHeight="1" hidden="1">
      <c r="A301" s="88" t="s">
        <v>121</v>
      </c>
      <c r="B301" s="89" t="s">
        <v>136</v>
      </c>
      <c r="C301" s="89" t="s">
        <v>148</v>
      </c>
      <c r="D301" s="90" t="s">
        <v>122</v>
      </c>
      <c r="E301" s="89"/>
      <c r="F301" s="99">
        <f>F302</f>
        <v>0</v>
      </c>
      <c r="G301" s="99">
        <f>G302</f>
        <v>12428</v>
      </c>
      <c r="H301" s="99">
        <f>H302</f>
        <v>12428</v>
      </c>
      <c r="I301" s="99">
        <f>I302</f>
        <v>0</v>
      </c>
      <c r="J301" s="99">
        <f>J302+J303</f>
        <v>211640</v>
      </c>
      <c r="K301" s="99">
        <f>K302+K303</f>
        <v>0</v>
      </c>
      <c r="L301" s="99">
        <f>L302+L303</f>
        <v>0</v>
      </c>
      <c r="M301" s="99">
        <f>M302+M303</f>
        <v>224068</v>
      </c>
      <c r="N301" s="99">
        <f aca="true" t="shared" si="381" ref="N301:AS301">N302+N303</f>
        <v>0</v>
      </c>
      <c r="O301" s="99">
        <f t="shared" si="381"/>
        <v>0</v>
      </c>
      <c r="P301" s="99"/>
      <c r="Q301" s="99">
        <f t="shared" si="381"/>
        <v>0</v>
      </c>
      <c r="R301" s="99">
        <f t="shared" si="381"/>
        <v>0</v>
      </c>
      <c r="S301" s="99">
        <f t="shared" si="381"/>
        <v>224068</v>
      </c>
      <c r="T301" s="99">
        <f t="shared" si="381"/>
        <v>0</v>
      </c>
      <c r="U301" s="99">
        <f t="shared" si="381"/>
        <v>0</v>
      </c>
      <c r="V301" s="99">
        <f t="shared" si="381"/>
        <v>0</v>
      </c>
      <c r="W301" s="99">
        <f t="shared" si="381"/>
        <v>0</v>
      </c>
      <c r="X301" s="99">
        <f t="shared" si="381"/>
        <v>0</v>
      </c>
      <c r="Y301" s="99">
        <f t="shared" si="381"/>
        <v>0</v>
      </c>
      <c r="Z301" s="99">
        <f t="shared" si="381"/>
        <v>0</v>
      </c>
      <c r="AA301" s="99">
        <f t="shared" si="381"/>
        <v>0</v>
      </c>
      <c r="AB301" s="99">
        <f t="shared" si="381"/>
        <v>224068</v>
      </c>
      <c r="AC301" s="99">
        <f t="shared" si="381"/>
        <v>0</v>
      </c>
      <c r="AD301" s="99">
        <f t="shared" si="381"/>
        <v>0</v>
      </c>
      <c r="AE301" s="99">
        <f t="shared" si="381"/>
        <v>0</v>
      </c>
      <c r="AF301" s="99">
        <f t="shared" si="381"/>
        <v>-59186</v>
      </c>
      <c r="AG301" s="99">
        <f t="shared" si="381"/>
        <v>0</v>
      </c>
      <c r="AH301" s="99">
        <f t="shared" si="381"/>
        <v>0</v>
      </c>
      <c r="AI301" s="99">
        <f t="shared" si="381"/>
        <v>164882</v>
      </c>
      <c r="AJ301" s="99">
        <f t="shared" si="381"/>
        <v>0</v>
      </c>
      <c r="AK301" s="99">
        <f t="shared" si="381"/>
        <v>0</v>
      </c>
      <c r="AL301" s="99">
        <f t="shared" si="381"/>
        <v>164882</v>
      </c>
      <c r="AM301" s="99">
        <f t="shared" si="381"/>
        <v>0</v>
      </c>
      <c r="AN301" s="99">
        <f t="shared" si="381"/>
        <v>0</v>
      </c>
      <c r="AO301" s="99">
        <f t="shared" si="381"/>
        <v>0</v>
      </c>
      <c r="AP301" s="99">
        <f t="shared" si="381"/>
        <v>0</v>
      </c>
      <c r="AQ301" s="99">
        <f t="shared" si="381"/>
        <v>0</v>
      </c>
      <c r="AR301" s="99">
        <f t="shared" si="381"/>
        <v>164882</v>
      </c>
      <c r="AS301" s="99">
        <f t="shared" si="381"/>
        <v>0</v>
      </c>
      <c r="AT301" s="117">
        <f>AT302+AT303</f>
        <v>-3321</v>
      </c>
      <c r="AU301" s="117">
        <f>AU302+AU303</f>
        <v>0</v>
      </c>
      <c r="AV301" s="117">
        <f>AV302+AV303</f>
        <v>0</v>
      </c>
      <c r="AW301" s="117">
        <f>AW302+AW303</f>
        <v>161561</v>
      </c>
      <c r="AX301" s="117">
        <f aca="true" t="shared" si="382" ref="AX301:BV301">AX302+AX303</f>
        <v>0</v>
      </c>
      <c r="AY301" s="99">
        <f t="shared" si="382"/>
        <v>-6581</v>
      </c>
      <c r="AZ301" s="99">
        <f t="shared" si="382"/>
        <v>0</v>
      </c>
      <c r="BA301" s="99">
        <f t="shared" si="382"/>
        <v>0</v>
      </c>
      <c r="BB301" s="99">
        <f t="shared" si="382"/>
        <v>0</v>
      </c>
      <c r="BC301" s="99">
        <f t="shared" si="382"/>
        <v>0</v>
      </c>
      <c r="BD301" s="99">
        <f t="shared" si="382"/>
        <v>154980</v>
      </c>
      <c r="BE301" s="99">
        <f t="shared" si="382"/>
        <v>0</v>
      </c>
      <c r="BF301" s="99">
        <f t="shared" si="382"/>
        <v>0</v>
      </c>
      <c r="BG301" s="99">
        <f t="shared" si="382"/>
        <v>0</v>
      </c>
      <c r="BH301" s="99">
        <f t="shared" si="382"/>
        <v>0</v>
      </c>
      <c r="BI301" s="99">
        <f t="shared" si="382"/>
        <v>154980</v>
      </c>
      <c r="BJ301" s="99">
        <f t="shared" si="382"/>
        <v>0</v>
      </c>
      <c r="BK301" s="99">
        <f t="shared" si="382"/>
        <v>0</v>
      </c>
      <c r="BL301" s="99">
        <f t="shared" si="382"/>
        <v>0</v>
      </c>
      <c r="BM301" s="99">
        <f t="shared" si="382"/>
        <v>1760</v>
      </c>
      <c r="BN301" s="99">
        <f t="shared" si="382"/>
        <v>0</v>
      </c>
      <c r="BO301" s="99">
        <f t="shared" si="382"/>
        <v>156740</v>
      </c>
      <c r="BP301" s="99">
        <f t="shared" si="382"/>
        <v>0</v>
      </c>
      <c r="BQ301" s="99">
        <f t="shared" si="382"/>
        <v>-3354</v>
      </c>
      <c r="BR301" s="99"/>
      <c r="BS301" s="99">
        <f t="shared" si="382"/>
        <v>0</v>
      </c>
      <c r="BT301" s="99">
        <f t="shared" si="382"/>
        <v>0</v>
      </c>
      <c r="BU301" s="99">
        <f t="shared" si="382"/>
        <v>153386</v>
      </c>
      <c r="BV301" s="99">
        <f t="shared" si="382"/>
        <v>0</v>
      </c>
      <c r="BW301" s="99">
        <f>BW302+BW303</f>
        <v>150033</v>
      </c>
      <c r="BX301" s="99">
        <f>BX302+BX303</f>
        <v>0</v>
      </c>
      <c r="BY301" s="77">
        <f t="shared" si="349"/>
        <v>97.81401170902168</v>
      </c>
      <c r="BZ301" s="60"/>
    </row>
    <row r="302" spans="1:78" s="21" customFormat="1" ht="69.75" customHeight="1" hidden="1">
      <c r="A302" s="88" t="s">
        <v>138</v>
      </c>
      <c r="B302" s="89" t="s">
        <v>136</v>
      </c>
      <c r="C302" s="89" t="s">
        <v>148</v>
      </c>
      <c r="D302" s="90" t="s">
        <v>122</v>
      </c>
      <c r="E302" s="89" t="s">
        <v>139</v>
      </c>
      <c r="F302" s="99"/>
      <c r="G302" s="75">
        <f>H302-F302</f>
        <v>12428</v>
      </c>
      <c r="H302" s="100">
        <f>8634+719+3075</f>
        <v>12428</v>
      </c>
      <c r="I302" s="163"/>
      <c r="J302" s="100">
        <f>211640-2530</f>
        <v>209110</v>
      </c>
      <c r="K302" s="163"/>
      <c r="L302" s="163"/>
      <c r="M302" s="75">
        <f>H302+J302+K302+L302</f>
        <v>221538</v>
      </c>
      <c r="N302" s="78">
        <f>I302+L302</f>
        <v>0</v>
      </c>
      <c r="O302" s="163"/>
      <c r="P302" s="163"/>
      <c r="Q302" s="134"/>
      <c r="R302" s="134"/>
      <c r="S302" s="75">
        <f>M302+O302+P302+Q302+R302</f>
        <v>221538</v>
      </c>
      <c r="T302" s="75">
        <f>N302+R302</f>
        <v>0</v>
      </c>
      <c r="U302" s="134"/>
      <c r="V302" s="134"/>
      <c r="W302" s="134"/>
      <c r="X302" s="134"/>
      <c r="Y302" s="134"/>
      <c r="Z302" s="134"/>
      <c r="AA302" s="134"/>
      <c r="AB302" s="75">
        <f>S302+U302+V302+W302+X302+Y302+Z302+AA302</f>
        <v>221538</v>
      </c>
      <c r="AC302" s="75">
        <f>T302+Z302+AA302</f>
        <v>0</v>
      </c>
      <c r="AD302" s="134"/>
      <c r="AE302" s="134"/>
      <c r="AF302" s="75">
        <f>-55086-2600</f>
        <v>-57686</v>
      </c>
      <c r="AG302" s="134"/>
      <c r="AH302" s="134"/>
      <c r="AI302" s="75">
        <f>AB302+AD302+AE302+AF302+AG302+AH302</f>
        <v>163852</v>
      </c>
      <c r="AJ302" s="75">
        <f>AC302+AH302</f>
        <v>0</v>
      </c>
      <c r="AK302" s="134"/>
      <c r="AL302" s="75">
        <f>AI302+AK302</f>
        <v>163852</v>
      </c>
      <c r="AM302" s="75">
        <f>AJ302</f>
        <v>0</v>
      </c>
      <c r="AN302" s="134"/>
      <c r="AO302" s="134"/>
      <c r="AP302" s="134"/>
      <c r="AQ302" s="134"/>
      <c r="AR302" s="75">
        <f>AL302+AN302+AO302+AP302+AQ302</f>
        <v>163852</v>
      </c>
      <c r="AS302" s="75">
        <f>AM302+AQ302</f>
        <v>0</v>
      </c>
      <c r="AT302" s="65">
        <v>-3321</v>
      </c>
      <c r="AU302" s="65"/>
      <c r="AV302" s="140"/>
      <c r="AW302" s="76">
        <f>AV302+AU302+AT302+AR302</f>
        <v>160531</v>
      </c>
      <c r="AX302" s="76">
        <f>AV302+AS302</f>
        <v>0</v>
      </c>
      <c r="AY302" s="75">
        <f>-6146-435</f>
        <v>-6581</v>
      </c>
      <c r="AZ302" s="136"/>
      <c r="BA302" s="136"/>
      <c r="BB302" s="136"/>
      <c r="BC302" s="136"/>
      <c r="BD302" s="75">
        <f>AW302+AY302+AZ302+BA302+BB302+BC302</f>
        <v>153950</v>
      </c>
      <c r="BE302" s="75">
        <f>AX302+BC302</f>
        <v>0</v>
      </c>
      <c r="BF302" s="134"/>
      <c r="BG302" s="134"/>
      <c r="BH302" s="134"/>
      <c r="BI302" s="75">
        <f>BD302+BF302+BG302+BH302</f>
        <v>153950</v>
      </c>
      <c r="BJ302" s="75">
        <f>BE302+BH302</f>
        <v>0</v>
      </c>
      <c r="BK302" s="137"/>
      <c r="BL302" s="137"/>
      <c r="BM302" s="75">
        <v>1760</v>
      </c>
      <c r="BN302" s="137"/>
      <c r="BO302" s="75">
        <f>BI302+BK302+BL302+BM302+BN302</f>
        <v>155710</v>
      </c>
      <c r="BP302" s="75">
        <f>BJ302+BN302</f>
        <v>0</v>
      </c>
      <c r="BQ302" s="75">
        <v>-3354</v>
      </c>
      <c r="BR302" s="75"/>
      <c r="BS302" s="134"/>
      <c r="BT302" s="134"/>
      <c r="BU302" s="75">
        <f>BO302+BQ302+BS302+BT302</f>
        <v>152356</v>
      </c>
      <c r="BV302" s="75">
        <f>BP302+BT302</f>
        <v>0</v>
      </c>
      <c r="BW302" s="75">
        <v>149003</v>
      </c>
      <c r="BX302" s="75">
        <f>BR302+BV302</f>
        <v>0</v>
      </c>
      <c r="BY302" s="77">
        <f t="shared" si="349"/>
        <v>97.79923337446506</v>
      </c>
      <c r="BZ302" s="60"/>
    </row>
    <row r="303" spans="1:78" s="21" customFormat="1" ht="79.5" customHeight="1" hidden="1">
      <c r="A303" s="88" t="s">
        <v>224</v>
      </c>
      <c r="B303" s="89" t="s">
        <v>136</v>
      </c>
      <c r="C303" s="89" t="s">
        <v>148</v>
      </c>
      <c r="D303" s="90" t="s">
        <v>283</v>
      </c>
      <c r="E303" s="89"/>
      <c r="F303" s="99"/>
      <c r="G303" s="75"/>
      <c r="H303" s="100"/>
      <c r="I303" s="163"/>
      <c r="J303" s="100">
        <f>J304</f>
        <v>2530</v>
      </c>
      <c r="K303" s="163">
        <f>K304</f>
        <v>0</v>
      </c>
      <c r="L303" s="163">
        <f>L304</f>
        <v>0</v>
      </c>
      <c r="M303" s="75">
        <f>M304</f>
        <v>2530</v>
      </c>
      <c r="N303" s="75">
        <f aca="true" t="shared" si="383" ref="N303:BX303">N304</f>
        <v>0</v>
      </c>
      <c r="O303" s="75">
        <f t="shared" si="383"/>
        <v>0</v>
      </c>
      <c r="P303" s="75"/>
      <c r="Q303" s="75">
        <f t="shared" si="383"/>
        <v>0</v>
      </c>
      <c r="R303" s="75">
        <f t="shared" si="383"/>
        <v>0</v>
      </c>
      <c r="S303" s="75">
        <f t="shared" si="383"/>
        <v>2530</v>
      </c>
      <c r="T303" s="75">
        <f t="shared" si="383"/>
        <v>0</v>
      </c>
      <c r="U303" s="75">
        <f t="shared" si="383"/>
        <v>0</v>
      </c>
      <c r="V303" s="75">
        <f t="shared" si="383"/>
        <v>0</v>
      </c>
      <c r="W303" s="75">
        <f t="shared" si="383"/>
        <v>0</v>
      </c>
      <c r="X303" s="75">
        <f t="shared" si="383"/>
        <v>0</v>
      </c>
      <c r="Y303" s="75">
        <f t="shared" si="383"/>
        <v>0</v>
      </c>
      <c r="Z303" s="75">
        <f t="shared" si="383"/>
        <v>0</v>
      </c>
      <c r="AA303" s="75">
        <f t="shared" si="383"/>
        <v>0</v>
      </c>
      <c r="AB303" s="75">
        <f t="shared" si="383"/>
        <v>2530</v>
      </c>
      <c r="AC303" s="75">
        <f t="shared" si="383"/>
        <v>0</v>
      </c>
      <c r="AD303" s="75">
        <f t="shared" si="383"/>
        <v>0</v>
      </c>
      <c r="AE303" s="75">
        <f t="shared" si="383"/>
        <v>0</v>
      </c>
      <c r="AF303" s="75">
        <f t="shared" si="383"/>
        <v>-1500</v>
      </c>
      <c r="AG303" s="75">
        <f t="shared" si="383"/>
        <v>0</v>
      </c>
      <c r="AH303" s="75">
        <f t="shared" si="383"/>
        <v>0</v>
      </c>
      <c r="AI303" s="75">
        <f t="shared" si="383"/>
        <v>1030</v>
      </c>
      <c r="AJ303" s="75">
        <f t="shared" si="383"/>
        <v>0</v>
      </c>
      <c r="AK303" s="75">
        <f t="shared" si="383"/>
        <v>0</v>
      </c>
      <c r="AL303" s="75">
        <f t="shared" si="383"/>
        <v>1030</v>
      </c>
      <c r="AM303" s="75">
        <f t="shared" si="383"/>
        <v>0</v>
      </c>
      <c r="AN303" s="75">
        <f t="shared" si="383"/>
        <v>0</v>
      </c>
      <c r="AO303" s="75">
        <f t="shared" si="383"/>
        <v>0</v>
      </c>
      <c r="AP303" s="75">
        <f t="shared" si="383"/>
        <v>0</v>
      </c>
      <c r="AQ303" s="75">
        <f t="shared" si="383"/>
        <v>0</v>
      </c>
      <c r="AR303" s="75">
        <f t="shared" si="383"/>
        <v>1030</v>
      </c>
      <c r="AS303" s="75">
        <f t="shared" si="383"/>
        <v>0</v>
      </c>
      <c r="AT303" s="76">
        <f t="shared" si="383"/>
        <v>0</v>
      </c>
      <c r="AU303" s="76">
        <f t="shared" si="383"/>
        <v>0</v>
      </c>
      <c r="AV303" s="76">
        <f t="shared" si="383"/>
        <v>0</v>
      </c>
      <c r="AW303" s="76">
        <f t="shared" si="383"/>
        <v>1030</v>
      </c>
      <c r="AX303" s="76">
        <f t="shared" si="383"/>
        <v>0</v>
      </c>
      <c r="AY303" s="75">
        <f t="shared" si="383"/>
        <v>0</v>
      </c>
      <c r="AZ303" s="75">
        <f t="shared" si="383"/>
        <v>0</v>
      </c>
      <c r="BA303" s="75">
        <f t="shared" si="383"/>
        <v>0</v>
      </c>
      <c r="BB303" s="75">
        <f t="shared" si="383"/>
        <v>0</v>
      </c>
      <c r="BC303" s="75">
        <f t="shared" si="383"/>
        <v>0</v>
      </c>
      <c r="BD303" s="75">
        <f t="shared" si="383"/>
        <v>1030</v>
      </c>
      <c r="BE303" s="75">
        <f t="shared" si="383"/>
        <v>0</v>
      </c>
      <c r="BF303" s="75">
        <f t="shared" si="383"/>
        <v>0</v>
      </c>
      <c r="BG303" s="75">
        <f t="shared" si="383"/>
        <v>0</v>
      </c>
      <c r="BH303" s="75">
        <f t="shared" si="383"/>
        <v>0</v>
      </c>
      <c r="BI303" s="75">
        <f t="shared" si="383"/>
        <v>1030</v>
      </c>
      <c r="BJ303" s="75">
        <f t="shared" si="383"/>
        <v>0</v>
      </c>
      <c r="BK303" s="75">
        <f t="shared" si="383"/>
        <v>0</v>
      </c>
      <c r="BL303" s="75">
        <f t="shared" si="383"/>
        <v>0</v>
      </c>
      <c r="BM303" s="75">
        <f t="shared" si="383"/>
        <v>0</v>
      </c>
      <c r="BN303" s="75">
        <f t="shared" si="383"/>
        <v>0</v>
      </c>
      <c r="BO303" s="75">
        <f t="shared" si="383"/>
        <v>1030</v>
      </c>
      <c r="BP303" s="75">
        <f t="shared" si="383"/>
        <v>0</v>
      </c>
      <c r="BQ303" s="75">
        <f t="shared" si="383"/>
        <v>0</v>
      </c>
      <c r="BR303" s="75"/>
      <c r="BS303" s="75">
        <f t="shared" si="383"/>
        <v>0</v>
      </c>
      <c r="BT303" s="75">
        <f t="shared" si="383"/>
        <v>0</v>
      </c>
      <c r="BU303" s="75">
        <f t="shared" si="383"/>
        <v>1030</v>
      </c>
      <c r="BV303" s="75">
        <f t="shared" si="383"/>
        <v>0</v>
      </c>
      <c r="BW303" s="75">
        <f t="shared" si="383"/>
        <v>1030</v>
      </c>
      <c r="BX303" s="75">
        <f t="shared" si="383"/>
        <v>0</v>
      </c>
      <c r="BY303" s="77">
        <f t="shared" si="349"/>
        <v>100</v>
      </c>
      <c r="BZ303" s="60"/>
    </row>
    <row r="304" spans="1:78" s="21" customFormat="1" ht="105" customHeight="1" hidden="1">
      <c r="A304" s="88" t="s">
        <v>359</v>
      </c>
      <c r="B304" s="89" t="s">
        <v>136</v>
      </c>
      <c r="C304" s="89" t="s">
        <v>148</v>
      </c>
      <c r="D304" s="90" t="s">
        <v>283</v>
      </c>
      <c r="E304" s="89" t="s">
        <v>145</v>
      </c>
      <c r="F304" s="99"/>
      <c r="G304" s="75"/>
      <c r="H304" s="100"/>
      <c r="I304" s="163"/>
      <c r="J304" s="100">
        <v>2530</v>
      </c>
      <c r="K304" s="163"/>
      <c r="L304" s="163"/>
      <c r="M304" s="75">
        <f>H304+J304+K304+L304</f>
        <v>2530</v>
      </c>
      <c r="N304" s="78">
        <f>I304+L304</f>
        <v>0</v>
      </c>
      <c r="O304" s="163"/>
      <c r="P304" s="163"/>
      <c r="Q304" s="134"/>
      <c r="R304" s="134"/>
      <c r="S304" s="75">
        <f>M304+O304+P304+Q304+R304</f>
        <v>2530</v>
      </c>
      <c r="T304" s="75">
        <f>N304+R304</f>
        <v>0</v>
      </c>
      <c r="U304" s="134"/>
      <c r="V304" s="134"/>
      <c r="W304" s="134"/>
      <c r="X304" s="134"/>
      <c r="Y304" s="134"/>
      <c r="Z304" s="134"/>
      <c r="AA304" s="134"/>
      <c r="AB304" s="75">
        <f>S304+U304+V304+W304+X304+Y304+Z304+AA304</f>
        <v>2530</v>
      </c>
      <c r="AC304" s="75">
        <f>T304+Z304+AA304</f>
        <v>0</v>
      </c>
      <c r="AD304" s="134"/>
      <c r="AE304" s="134"/>
      <c r="AF304" s="75">
        <v>-1500</v>
      </c>
      <c r="AG304" s="134"/>
      <c r="AH304" s="134"/>
      <c r="AI304" s="75">
        <f>AB304+AD304+AE304+AF304+AG304+AH304</f>
        <v>1030</v>
      </c>
      <c r="AJ304" s="75">
        <f>AC304+AH304</f>
        <v>0</v>
      </c>
      <c r="AK304" s="134"/>
      <c r="AL304" s="75">
        <f>AI304+AK304</f>
        <v>1030</v>
      </c>
      <c r="AM304" s="75">
        <f>AJ304</f>
        <v>0</v>
      </c>
      <c r="AN304" s="134"/>
      <c r="AO304" s="134"/>
      <c r="AP304" s="134"/>
      <c r="AQ304" s="134"/>
      <c r="AR304" s="75">
        <f>AL304+AN304+AO304+AP304+AQ304</f>
        <v>1030</v>
      </c>
      <c r="AS304" s="75">
        <f>AM304+AQ304</f>
        <v>0</v>
      </c>
      <c r="AT304" s="140"/>
      <c r="AU304" s="140"/>
      <c r="AV304" s="140"/>
      <c r="AW304" s="76">
        <f>AV304+AU304+AT304+AR304</f>
        <v>1030</v>
      </c>
      <c r="AX304" s="76">
        <f>AV304+AS304</f>
        <v>0</v>
      </c>
      <c r="AY304" s="136"/>
      <c r="AZ304" s="136"/>
      <c r="BA304" s="136"/>
      <c r="BB304" s="136"/>
      <c r="BC304" s="136"/>
      <c r="BD304" s="75">
        <f>AW304+AY304+AZ304+BA304+BB304+BC304</f>
        <v>1030</v>
      </c>
      <c r="BE304" s="75">
        <f>AX304+BC304</f>
        <v>0</v>
      </c>
      <c r="BF304" s="134"/>
      <c r="BG304" s="134"/>
      <c r="BH304" s="134"/>
      <c r="BI304" s="75">
        <f>BD304+BF304+BG304+BH304</f>
        <v>1030</v>
      </c>
      <c r="BJ304" s="75">
        <f>BE304+BH304</f>
        <v>0</v>
      </c>
      <c r="BK304" s="137"/>
      <c r="BL304" s="137"/>
      <c r="BM304" s="137"/>
      <c r="BN304" s="137"/>
      <c r="BO304" s="75">
        <f>BI304+BK304+BL304+BM304+BN304</f>
        <v>1030</v>
      </c>
      <c r="BP304" s="75">
        <f>BJ304+BN304</f>
        <v>0</v>
      </c>
      <c r="BQ304" s="134"/>
      <c r="BR304" s="134"/>
      <c r="BS304" s="134"/>
      <c r="BT304" s="134"/>
      <c r="BU304" s="75">
        <f>BO304+BQ304+BS304+BT304</f>
        <v>1030</v>
      </c>
      <c r="BV304" s="75">
        <f>BP304+BT304</f>
        <v>0</v>
      </c>
      <c r="BW304" s="75">
        <v>1030</v>
      </c>
      <c r="BX304" s="75">
        <f>BR304+BV304</f>
        <v>0</v>
      </c>
      <c r="BY304" s="77">
        <f t="shared" si="349"/>
        <v>100</v>
      </c>
      <c r="BZ304" s="60"/>
    </row>
    <row r="305" spans="1:78" ht="13.5" customHeight="1">
      <c r="A305" s="110"/>
      <c r="B305" s="83"/>
      <c r="C305" s="83"/>
      <c r="D305" s="84"/>
      <c r="E305" s="83"/>
      <c r="F305" s="50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2"/>
      <c r="T305" s="52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2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3"/>
      <c r="AU305" s="53"/>
      <c r="AV305" s="53"/>
      <c r="AW305" s="53"/>
      <c r="AX305" s="53"/>
      <c r="AY305" s="52"/>
      <c r="AZ305" s="52"/>
      <c r="BA305" s="52"/>
      <c r="BB305" s="52"/>
      <c r="BC305" s="52"/>
      <c r="BD305" s="54"/>
      <c r="BE305" s="54"/>
      <c r="BF305" s="51"/>
      <c r="BG305" s="51"/>
      <c r="BH305" s="51"/>
      <c r="BI305" s="51"/>
      <c r="BJ305" s="51"/>
      <c r="BK305" s="54"/>
      <c r="BL305" s="54"/>
      <c r="BM305" s="54"/>
      <c r="BN305" s="54"/>
      <c r="BO305" s="54"/>
      <c r="BP305" s="54"/>
      <c r="BQ305" s="51"/>
      <c r="BR305" s="51"/>
      <c r="BS305" s="51"/>
      <c r="BT305" s="51"/>
      <c r="BU305" s="51"/>
      <c r="BV305" s="51"/>
      <c r="BW305" s="51"/>
      <c r="BX305" s="51"/>
      <c r="BY305" s="60"/>
      <c r="BZ305" s="60"/>
    </row>
    <row r="306" spans="1:78" s="10" customFormat="1" ht="81">
      <c r="A306" s="55" t="s">
        <v>176</v>
      </c>
      <c r="B306" s="56" t="s">
        <v>82</v>
      </c>
      <c r="C306" s="56"/>
      <c r="D306" s="57"/>
      <c r="E306" s="56"/>
      <c r="F306" s="58">
        <f aca="true" t="shared" si="384" ref="F306:M306">F308+F332+F336</f>
        <v>193993</v>
      </c>
      <c r="G306" s="58">
        <f t="shared" si="384"/>
        <v>54867</v>
      </c>
      <c r="H306" s="58">
        <f t="shared" si="384"/>
        <v>248860</v>
      </c>
      <c r="I306" s="58">
        <f t="shared" si="384"/>
        <v>0</v>
      </c>
      <c r="J306" s="58">
        <f t="shared" si="384"/>
        <v>0</v>
      </c>
      <c r="K306" s="58">
        <f t="shared" si="384"/>
        <v>0</v>
      </c>
      <c r="L306" s="58">
        <f t="shared" si="384"/>
        <v>0</v>
      </c>
      <c r="M306" s="58">
        <f t="shared" si="384"/>
        <v>248860</v>
      </c>
      <c r="N306" s="58">
        <f aca="true" t="shared" si="385" ref="N306:S306">N308+N332+N336</f>
        <v>0</v>
      </c>
      <c r="O306" s="58">
        <f t="shared" si="385"/>
        <v>0</v>
      </c>
      <c r="P306" s="58">
        <f t="shared" si="385"/>
        <v>0</v>
      </c>
      <c r="Q306" s="58">
        <f t="shared" si="385"/>
        <v>0</v>
      </c>
      <c r="R306" s="58">
        <f t="shared" si="385"/>
        <v>0</v>
      </c>
      <c r="S306" s="58">
        <f t="shared" si="385"/>
        <v>248860</v>
      </c>
      <c r="T306" s="58">
        <f aca="true" t="shared" si="386" ref="T306:AB306">T308+T332+T336</f>
        <v>0</v>
      </c>
      <c r="U306" s="58">
        <f t="shared" si="386"/>
        <v>0</v>
      </c>
      <c r="V306" s="58">
        <f t="shared" si="386"/>
        <v>0</v>
      </c>
      <c r="W306" s="58">
        <f t="shared" si="386"/>
        <v>0</v>
      </c>
      <c r="X306" s="58">
        <f t="shared" si="386"/>
        <v>0</v>
      </c>
      <c r="Y306" s="58">
        <f t="shared" si="386"/>
        <v>0</v>
      </c>
      <c r="Z306" s="58">
        <f t="shared" si="386"/>
        <v>0</v>
      </c>
      <c r="AA306" s="58">
        <f t="shared" si="386"/>
        <v>0</v>
      </c>
      <c r="AB306" s="58">
        <f t="shared" si="386"/>
        <v>248860</v>
      </c>
      <c r="AC306" s="58">
        <f aca="true" t="shared" si="387" ref="AC306:AI306">AC308+AC332+AC336</f>
        <v>0</v>
      </c>
      <c r="AD306" s="58">
        <f t="shared" si="387"/>
        <v>12</v>
      </c>
      <c r="AE306" s="58">
        <f t="shared" si="387"/>
        <v>1574</v>
      </c>
      <c r="AF306" s="58">
        <f t="shared" si="387"/>
        <v>-47798</v>
      </c>
      <c r="AG306" s="58">
        <f t="shared" si="387"/>
        <v>0</v>
      </c>
      <c r="AH306" s="58">
        <f t="shared" si="387"/>
        <v>0</v>
      </c>
      <c r="AI306" s="58">
        <f t="shared" si="387"/>
        <v>202648</v>
      </c>
      <c r="AJ306" s="58">
        <f>AJ308+AJ332+AJ336</f>
        <v>0</v>
      </c>
      <c r="AK306" s="58">
        <f>AK308+AK332+AK336</f>
        <v>0</v>
      </c>
      <c r="AL306" s="58">
        <f>AL308+AL332+AL336</f>
        <v>202648</v>
      </c>
      <c r="AM306" s="58">
        <f aca="true" t="shared" si="388" ref="AM306:AS306">AM308+AM332+AM336</f>
        <v>0</v>
      </c>
      <c r="AN306" s="58">
        <f t="shared" si="388"/>
        <v>0</v>
      </c>
      <c r="AO306" s="58">
        <f>AO308+AO332+AO336</f>
        <v>1479</v>
      </c>
      <c r="AP306" s="58">
        <f t="shared" si="388"/>
        <v>8</v>
      </c>
      <c r="AQ306" s="58">
        <f t="shared" si="388"/>
        <v>2081</v>
      </c>
      <c r="AR306" s="58">
        <f t="shared" si="388"/>
        <v>206216</v>
      </c>
      <c r="AS306" s="58">
        <f t="shared" si="388"/>
        <v>2081</v>
      </c>
      <c r="AT306" s="59">
        <f aca="true" t="shared" si="389" ref="AT306:BE306">AT308+AT332+AT336</f>
        <v>0</v>
      </c>
      <c r="AU306" s="59">
        <f t="shared" si="389"/>
        <v>0</v>
      </c>
      <c r="AV306" s="59">
        <f t="shared" si="389"/>
        <v>0</v>
      </c>
      <c r="AW306" s="59">
        <f t="shared" si="389"/>
        <v>206216</v>
      </c>
      <c r="AX306" s="59">
        <f t="shared" si="389"/>
        <v>2081</v>
      </c>
      <c r="AY306" s="58">
        <f t="shared" si="389"/>
        <v>-17651</v>
      </c>
      <c r="AZ306" s="58">
        <f t="shared" si="389"/>
        <v>300</v>
      </c>
      <c r="BA306" s="58">
        <f>BA308+BA332+BA336</f>
        <v>0</v>
      </c>
      <c r="BB306" s="58">
        <f>BB308+BB332+BB336</f>
        <v>1513</v>
      </c>
      <c r="BC306" s="58">
        <f t="shared" si="389"/>
        <v>0</v>
      </c>
      <c r="BD306" s="58">
        <f t="shared" si="389"/>
        <v>190378</v>
      </c>
      <c r="BE306" s="58">
        <f t="shared" si="389"/>
        <v>2081</v>
      </c>
      <c r="BF306" s="58">
        <f>BF308+BF332+BF336</f>
        <v>0</v>
      </c>
      <c r="BG306" s="58">
        <f>BG308+BG332+BG336</f>
        <v>0</v>
      </c>
      <c r="BH306" s="58">
        <f>BH308+BH332+BH336</f>
        <v>0</v>
      </c>
      <c r="BI306" s="58">
        <f>BI308+BI332+BI336</f>
        <v>190378</v>
      </c>
      <c r="BJ306" s="58">
        <f>BJ308+BJ332+BJ336</f>
        <v>2081</v>
      </c>
      <c r="BK306" s="58">
        <f aca="true" t="shared" si="390" ref="BK306:BP306">BK308+BK332+BK336</f>
        <v>115</v>
      </c>
      <c r="BL306" s="58">
        <f t="shared" si="390"/>
        <v>0</v>
      </c>
      <c r="BM306" s="58">
        <f t="shared" si="390"/>
        <v>-5295</v>
      </c>
      <c r="BN306" s="58">
        <f t="shared" si="390"/>
        <v>0</v>
      </c>
      <c r="BO306" s="58">
        <f t="shared" si="390"/>
        <v>185198</v>
      </c>
      <c r="BP306" s="58">
        <f t="shared" si="390"/>
        <v>2081</v>
      </c>
      <c r="BQ306" s="58">
        <f>BQ308+BQ332+BQ336</f>
        <v>-262</v>
      </c>
      <c r="BR306" s="58"/>
      <c r="BS306" s="58">
        <f aca="true" t="shared" si="391" ref="BS306:BX306">BS308+BS332+BS336</f>
        <v>825</v>
      </c>
      <c r="BT306" s="58">
        <f t="shared" si="391"/>
        <v>0</v>
      </c>
      <c r="BU306" s="58">
        <f t="shared" si="391"/>
        <v>185761</v>
      </c>
      <c r="BV306" s="58">
        <f t="shared" si="391"/>
        <v>2081</v>
      </c>
      <c r="BW306" s="58">
        <f t="shared" si="391"/>
        <v>182237</v>
      </c>
      <c r="BX306" s="58">
        <f t="shared" si="391"/>
        <v>2081</v>
      </c>
      <c r="BY306" s="60">
        <f t="shared" si="349"/>
        <v>98.10293872233676</v>
      </c>
      <c r="BZ306" s="60">
        <f>BX306/BV306*100</f>
        <v>100</v>
      </c>
    </row>
    <row r="307" spans="1:78" s="10" customFormat="1" ht="13.5" customHeight="1">
      <c r="A307" s="55"/>
      <c r="B307" s="56"/>
      <c r="C307" s="56"/>
      <c r="D307" s="57"/>
      <c r="E307" s="56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9"/>
      <c r="AU307" s="59"/>
      <c r="AV307" s="59"/>
      <c r="AW307" s="59"/>
      <c r="AX307" s="59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60"/>
      <c r="BZ307" s="60"/>
    </row>
    <row r="308" spans="1:78" s="10" customFormat="1" ht="20.25">
      <c r="A308" s="66" t="s">
        <v>83</v>
      </c>
      <c r="B308" s="67" t="s">
        <v>155</v>
      </c>
      <c r="C308" s="67" t="s">
        <v>127</v>
      </c>
      <c r="D308" s="85"/>
      <c r="E308" s="67"/>
      <c r="F308" s="86">
        <f aca="true" t="shared" si="392" ref="F308:M308">F309+F311+F313+F315+F317+F319+F329</f>
        <v>188627</v>
      </c>
      <c r="G308" s="86">
        <f t="shared" si="392"/>
        <v>54885</v>
      </c>
      <c r="H308" s="86">
        <f t="shared" si="392"/>
        <v>243512</v>
      </c>
      <c r="I308" s="86">
        <f t="shared" si="392"/>
        <v>0</v>
      </c>
      <c r="J308" s="86">
        <f t="shared" si="392"/>
        <v>0</v>
      </c>
      <c r="K308" s="86">
        <f t="shared" si="392"/>
        <v>0</v>
      </c>
      <c r="L308" s="86">
        <f t="shared" si="392"/>
        <v>0</v>
      </c>
      <c r="M308" s="86">
        <f t="shared" si="392"/>
        <v>243512</v>
      </c>
      <c r="N308" s="86">
        <f aca="true" t="shared" si="393" ref="N308:S308">N309+N311+N313+N315+N317+N319+N329</f>
        <v>0</v>
      </c>
      <c r="O308" s="86">
        <f t="shared" si="393"/>
        <v>0</v>
      </c>
      <c r="P308" s="86">
        <f t="shared" si="393"/>
        <v>0</v>
      </c>
      <c r="Q308" s="86">
        <f t="shared" si="393"/>
        <v>0</v>
      </c>
      <c r="R308" s="86">
        <f t="shared" si="393"/>
        <v>0</v>
      </c>
      <c r="S308" s="86">
        <f t="shared" si="393"/>
        <v>243512</v>
      </c>
      <c r="T308" s="86">
        <f aca="true" t="shared" si="394" ref="T308:AB308">T309+T311+T313+T315+T317+T319+T329</f>
        <v>0</v>
      </c>
      <c r="U308" s="86">
        <f t="shared" si="394"/>
        <v>0</v>
      </c>
      <c r="V308" s="86">
        <f t="shared" si="394"/>
        <v>0</v>
      </c>
      <c r="W308" s="86">
        <f t="shared" si="394"/>
        <v>0</v>
      </c>
      <c r="X308" s="86">
        <f t="shared" si="394"/>
        <v>0</v>
      </c>
      <c r="Y308" s="86">
        <f t="shared" si="394"/>
        <v>0</v>
      </c>
      <c r="Z308" s="86">
        <f t="shared" si="394"/>
        <v>0</v>
      </c>
      <c r="AA308" s="86">
        <f t="shared" si="394"/>
        <v>0</v>
      </c>
      <c r="AB308" s="86">
        <f t="shared" si="394"/>
        <v>243512</v>
      </c>
      <c r="AC308" s="86">
        <f aca="true" t="shared" si="395" ref="AC308:AI308">AC309+AC311+AC313+AC315+AC317+AC319+AC329</f>
        <v>0</v>
      </c>
      <c r="AD308" s="86">
        <f t="shared" si="395"/>
        <v>11</v>
      </c>
      <c r="AE308" s="86">
        <f t="shared" si="395"/>
        <v>1571</v>
      </c>
      <c r="AF308" s="86">
        <f t="shared" si="395"/>
        <v>-47798</v>
      </c>
      <c r="AG308" s="86">
        <f t="shared" si="395"/>
        <v>0</v>
      </c>
      <c r="AH308" s="86">
        <f t="shared" si="395"/>
        <v>0</v>
      </c>
      <c r="AI308" s="86">
        <f t="shared" si="395"/>
        <v>197296</v>
      </c>
      <c r="AJ308" s="86">
        <f>AJ309+AJ311+AJ313+AJ315+AJ317+AJ319+AJ329</f>
        <v>0</v>
      </c>
      <c r="AK308" s="86">
        <f>AK309+AK311+AK313+AK315+AK317+AK319+AK329</f>
        <v>0</v>
      </c>
      <c r="AL308" s="86">
        <f>AL309+AL311+AL313+AL315+AL317+AL319+AL329</f>
        <v>197296</v>
      </c>
      <c r="AM308" s="86">
        <f aca="true" t="shared" si="396" ref="AM308:AS308">AM309+AM311+AM313+AM315+AM317+AM319+AM329</f>
        <v>0</v>
      </c>
      <c r="AN308" s="86">
        <f t="shared" si="396"/>
        <v>0</v>
      </c>
      <c r="AO308" s="86">
        <f>AO309+AO311+AO313+AO315+AO317+AO319+AO329</f>
        <v>1476</v>
      </c>
      <c r="AP308" s="86">
        <f t="shared" si="396"/>
        <v>8</v>
      </c>
      <c r="AQ308" s="86">
        <f t="shared" si="396"/>
        <v>2081</v>
      </c>
      <c r="AR308" s="86">
        <f t="shared" si="396"/>
        <v>200861</v>
      </c>
      <c r="AS308" s="86">
        <f t="shared" si="396"/>
        <v>2081</v>
      </c>
      <c r="AT308" s="87">
        <f aca="true" t="shared" si="397" ref="AT308:BE308">AT309+AT311+AT313+AT315+AT317+AT319+AT329</f>
        <v>0</v>
      </c>
      <c r="AU308" s="87">
        <f t="shared" si="397"/>
        <v>0</v>
      </c>
      <c r="AV308" s="87">
        <f t="shared" si="397"/>
        <v>0</v>
      </c>
      <c r="AW308" s="87">
        <f t="shared" si="397"/>
        <v>200861</v>
      </c>
      <c r="AX308" s="87">
        <f t="shared" si="397"/>
        <v>2081</v>
      </c>
      <c r="AY308" s="86">
        <f t="shared" si="397"/>
        <v>-17448</v>
      </c>
      <c r="AZ308" s="86">
        <f t="shared" si="397"/>
        <v>300</v>
      </c>
      <c r="BA308" s="86">
        <f>BA309+BA311+BA313+BA315+BA317+BA319+BA329</f>
        <v>0</v>
      </c>
      <c r="BB308" s="86">
        <f>BB309+BB311+BB313+BB315+BB317+BB319+BB329</f>
        <v>1513</v>
      </c>
      <c r="BC308" s="86">
        <f t="shared" si="397"/>
        <v>0</v>
      </c>
      <c r="BD308" s="86">
        <f t="shared" si="397"/>
        <v>185226</v>
      </c>
      <c r="BE308" s="86">
        <f t="shared" si="397"/>
        <v>2081</v>
      </c>
      <c r="BF308" s="86">
        <f>BF309+BF311+BF313+BF315+BF317+BF319+BF329</f>
        <v>0</v>
      </c>
      <c r="BG308" s="86">
        <f>BG309+BG311+BG313+BG315+BG317+BG319+BG329</f>
        <v>0</v>
      </c>
      <c r="BH308" s="86">
        <f>BH309+BH311+BH313+BH315+BH317+BH319+BH329</f>
        <v>0</v>
      </c>
      <c r="BI308" s="86">
        <f>BI309+BI311+BI313+BI315+BI317+BI319+BI329</f>
        <v>185226</v>
      </c>
      <c r="BJ308" s="86">
        <f>BJ309+BJ311+BJ313+BJ315+BJ317+BJ319+BJ329</f>
        <v>2081</v>
      </c>
      <c r="BK308" s="86">
        <f aca="true" t="shared" si="398" ref="BK308:BP308">BK309+BK311+BK313+BK315+BK317+BK319+BK329</f>
        <v>115</v>
      </c>
      <c r="BL308" s="86">
        <f t="shared" si="398"/>
        <v>0</v>
      </c>
      <c r="BM308" s="86">
        <f t="shared" si="398"/>
        <v>-5295</v>
      </c>
      <c r="BN308" s="86">
        <f t="shared" si="398"/>
        <v>0</v>
      </c>
      <c r="BO308" s="86">
        <f t="shared" si="398"/>
        <v>180046</v>
      </c>
      <c r="BP308" s="86">
        <f t="shared" si="398"/>
        <v>2081</v>
      </c>
      <c r="BQ308" s="86">
        <f>BQ309+BQ311+BQ313+BQ315+BQ317+BQ319+BQ329</f>
        <v>-262</v>
      </c>
      <c r="BR308" s="86"/>
      <c r="BS308" s="86">
        <f aca="true" t="shared" si="399" ref="BS308:BX308">BS309+BS311+BS313+BS315+BS317+BS319+BS329</f>
        <v>825</v>
      </c>
      <c r="BT308" s="86">
        <f t="shared" si="399"/>
        <v>0</v>
      </c>
      <c r="BU308" s="86">
        <f t="shared" si="399"/>
        <v>180609</v>
      </c>
      <c r="BV308" s="86">
        <f t="shared" si="399"/>
        <v>2081</v>
      </c>
      <c r="BW308" s="86">
        <f t="shared" si="399"/>
        <v>177600</v>
      </c>
      <c r="BX308" s="86">
        <f t="shared" si="399"/>
        <v>2081</v>
      </c>
      <c r="BY308" s="71">
        <f t="shared" si="349"/>
        <v>98.33397006793682</v>
      </c>
      <c r="BZ308" s="71">
        <f>BX308/BV308*100</f>
        <v>100</v>
      </c>
    </row>
    <row r="309" spans="1:78" s="10" customFormat="1" ht="57" customHeight="1" hidden="1">
      <c r="A309" s="88" t="s">
        <v>152</v>
      </c>
      <c r="B309" s="89" t="s">
        <v>155</v>
      </c>
      <c r="C309" s="89" t="s">
        <v>127</v>
      </c>
      <c r="D309" s="90" t="s">
        <v>39</v>
      </c>
      <c r="E309" s="89"/>
      <c r="F309" s="91">
        <f>F310</f>
        <v>4958</v>
      </c>
      <c r="G309" s="91">
        <f>G310</f>
        <v>14812</v>
      </c>
      <c r="H309" s="91">
        <f>H310</f>
        <v>19770</v>
      </c>
      <c r="I309" s="91">
        <f aca="true" t="shared" si="400" ref="I309:BW309">I310</f>
        <v>0</v>
      </c>
      <c r="J309" s="91">
        <f t="shared" si="400"/>
        <v>0</v>
      </c>
      <c r="K309" s="91">
        <f t="shared" si="400"/>
        <v>0</v>
      </c>
      <c r="L309" s="91">
        <f t="shared" si="400"/>
        <v>0</v>
      </c>
      <c r="M309" s="91">
        <f t="shared" si="400"/>
        <v>19770</v>
      </c>
      <c r="N309" s="91">
        <f t="shared" si="400"/>
        <v>0</v>
      </c>
      <c r="O309" s="91">
        <f t="shared" si="400"/>
        <v>0</v>
      </c>
      <c r="P309" s="91"/>
      <c r="Q309" s="91">
        <f t="shared" si="400"/>
        <v>0</v>
      </c>
      <c r="R309" s="91">
        <f t="shared" si="400"/>
        <v>0</v>
      </c>
      <c r="S309" s="91">
        <f t="shared" si="400"/>
        <v>19770</v>
      </c>
      <c r="T309" s="91">
        <f t="shared" si="400"/>
        <v>0</v>
      </c>
      <c r="U309" s="91">
        <f t="shared" si="400"/>
        <v>0</v>
      </c>
      <c r="V309" s="91">
        <f t="shared" si="400"/>
        <v>0</v>
      </c>
      <c r="W309" s="91">
        <f t="shared" si="400"/>
        <v>0</v>
      </c>
      <c r="X309" s="91">
        <f t="shared" si="400"/>
        <v>0</v>
      </c>
      <c r="Y309" s="91">
        <f t="shared" si="400"/>
        <v>0</v>
      </c>
      <c r="Z309" s="91">
        <f t="shared" si="400"/>
        <v>0</v>
      </c>
      <c r="AA309" s="91">
        <f t="shared" si="400"/>
        <v>0</v>
      </c>
      <c r="AB309" s="91">
        <f t="shared" si="400"/>
        <v>19770</v>
      </c>
      <c r="AC309" s="91">
        <f t="shared" si="400"/>
        <v>0</v>
      </c>
      <c r="AD309" s="91">
        <f t="shared" si="400"/>
        <v>0</v>
      </c>
      <c r="AE309" s="91">
        <f t="shared" si="400"/>
        <v>0</v>
      </c>
      <c r="AF309" s="91">
        <f t="shared" si="400"/>
        <v>-16576</v>
      </c>
      <c r="AG309" s="91">
        <f t="shared" si="400"/>
        <v>0</v>
      </c>
      <c r="AH309" s="91">
        <f t="shared" si="400"/>
        <v>0</v>
      </c>
      <c r="AI309" s="91">
        <f t="shared" si="400"/>
        <v>3194</v>
      </c>
      <c r="AJ309" s="91">
        <f t="shared" si="400"/>
        <v>0</v>
      </c>
      <c r="AK309" s="91">
        <f t="shared" si="400"/>
        <v>0</v>
      </c>
      <c r="AL309" s="91">
        <f t="shared" si="400"/>
        <v>3194</v>
      </c>
      <c r="AM309" s="91">
        <f t="shared" si="400"/>
        <v>0</v>
      </c>
      <c r="AN309" s="91">
        <f t="shared" si="400"/>
        <v>0</v>
      </c>
      <c r="AO309" s="91">
        <f t="shared" si="400"/>
        <v>0</v>
      </c>
      <c r="AP309" s="91">
        <f t="shared" si="400"/>
        <v>0</v>
      </c>
      <c r="AQ309" s="91">
        <f t="shared" si="400"/>
        <v>0</v>
      </c>
      <c r="AR309" s="91">
        <f t="shared" si="400"/>
        <v>3194</v>
      </c>
      <c r="AS309" s="91">
        <f t="shared" si="400"/>
        <v>0</v>
      </c>
      <c r="AT309" s="92">
        <f t="shared" si="400"/>
        <v>0</v>
      </c>
      <c r="AU309" s="92">
        <f t="shared" si="400"/>
        <v>0</v>
      </c>
      <c r="AV309" s="92">
        <f t="shared" si="400"/>
        <v>0</v>
      </c>
      <c r="AW309" s="92">
        <f t="shared" si="400"/>
        <v>3194</v>
      </c>
      <c r="AX309" s="92">
        <f t="shared" si="400"/>
        <v>0</v>
      </c>
      <c r="AY309" s="91">
        <f t="shared" si="400"/>
        <v>-21</v>
      </c>
      <c r="AZ309" s="91">
        <f t="shared" si="400"/>
        <v>0</v>
      </c>
      <c r="BA309" s="91">
        <f t="shared" si="400"/>
        <v>0</v>
      </c>
      <c r="BB309" s="91">
        <f t="shared" si="400"/>
        <v>0</v>
      </c>
      <c r="BC309" s="91">
        <f t="shared" si="400"/>
        <v>0</v>
      </c>
      <c r="BD309" s="91">
        <f t="shared" si="400"/>
        <v>3173</v>
      </c>
      <c r="BE309" s="91">
        <f t="shared" si="400"/>
        <v>0</v>
      </c>
      <c r="BF309" s="91">
        <f t="shared" si="400"/>
        <v>0</v>
      </c>
      <c r="BG309" s="91">
        <f t="shared" si="400"/>
        <v>0</v>
      </c>
      <c r="BH309" s="91">
        <f t="shared" si="400"/>
        <v>0</v>
      </c>
      <c r="BI309" s="91">
        <f t="shared" si="400"/>
        <v>3173</v>
      </c>
      <c r="BJ309" s="91">
        <f t="shared" si="400"/>
        <v>0</v>
      </c>
      <c r="BK309" s="91">
        <f t="shared" si="400"/>
        <v>0</v>
      </c>
      <c r="BL309" s="91">
        <f t="shared" si="400"/>
        <v>0</v>
      </c>
      <c r="BM309" s="91">
        <f t="shared" si="400"/>
        <v>0</v>
      </c>
      <c r="BN309" s="91">
        <f t="shared" si="400"/>
        <v>0</v>
      </c>
      <c r="BO309" s="91">
        <f t="shared" si="400"/>
        <v>3173</v>
      </c>
      <c r="BP309" s="91">
        <f t="shared" si="400"/>
        <v>0</v>
      </c>
      <c r="BQ309" s="91">
        <f t="shared" si="400"/>
        <v>-4</v>
      </c>
      <c r="BR309" s="91"/>
      <c r="BS309" s="91">
        <f t="shared" si="400"/>
        <v>555</v>
      </c>
      <c r="BT309" s="91">
        <f t="shared" si="400"/>
        <v>0</v>
      </c>
      <c r="BU309" s="91">
        <f t="shared" si="400"/>
        <v>3724</v>
      </c>
      <c r="BV309" s="91">
        <f>BV310</f>
        <v>0</v>
      </c>
      <c r="BW309" s="91">
        <f t="shared" si="400"/>
        <v>3712</v>
      </c>
      <c r="BX309" s="91">
        <f>BX310</f>
        <v>0</v>
      </c>
      <c r="BY309" s="77">
        <f t="shared" si="349"/>
        <v>99.67776584317937</v>
      </c>
      <c r="BZ309" s="72"/>
    </row>
    <row r="310" spans="1:78" s="10" customFormat="1" ht="101.25" customHeight="1" hidden="1">
      <c r="A310" s="88" t="s">
        <v>360</v>
      </c>
      <c r="B310" s="89" t="s">
        <v>155</v>
      </c>
      <c r="C310" s="89" t="s">
        <v>127</v>
      </c>
      <c r="D310" s="90" t="s">
        <v>39</v>
      </c>
      <c r="E310" s="89" t="s">
        <v>153</v>
      </c>
      <c r="F310" s="99">
        <v>4958</v>
      </c>
      <c r="G310" s="75">
        <f>H310-F310</f>
        <v>14812</v>
      </c>
      <c r="H310" s="100">
        <v>19770</v>
      </c>
      <c r="I310" s="165"/>
      <c r="J310" s="165"/>
      <c r="K310" s="165"/>
      <c r="L310" s="165"/>
      <c r="M310" s="75">
        <f>H310+J310+K310+L310</f>
        <v>19770</v>
      </c>
      <c r="N310" s="78">
        <f>I310+L310</f>
        <v>0</v>
      </c>
      <c r="O310" s="165"/>
      <c r="P310" s="165"/>
      <c r="Q310" s="156"/>
      <c r="R310" s="156"/>
      <c r="S310" s="75">
        <f>M310+O310+P310+Q310+R310</f>
        <v>19770</v>
      </c>
      <c r="T310" s="75">
        <f>N310+R310</f>
        <v>0</v>
      </c>
      <c r="U310" s="156"/>
      <c r="V310" s="156"/>
      <c r="W310" s="156"/>
      <c r="X310" s="156"/>
      <c r="Y310" s="156"/>
      <c r="Z310" s="156"/>
      <c r="AA310" s="156"/>
      <c r="AB310" s="75">
        <f>S310+U310+V310+W310+X310+Y310+Z310+AA310</f>
        <v>19770</v>
      </c>
      <c r="AC310" s="75">
        <f>T310+Z310+AA310</f>
        <v>0</v>
      </c>
      <c r="AD310" s="156"/>
      <c r="AE310" s="156"/>
      <c r="AF310" s="75">
        <v>-16576</v>
      </c>
      <c r="AG310" s="156"/>
      <c r="AH310" s="156"/>
      <c r="AI310" s="75">
        <f>AB310+AD310+AE310+AF310+AG310+AH310</f>
        <v>3194</v>
      </c>
      <c r="AJ310" s="75">
        <f>AC310+AH310</f>
        <v>0</v>
      </c>
      <c r="AK310" s="156"/>
      <c r="AL310" s="75">
        <f>AI310+AK310</f>
        <v>3194</v>
      </c>
      <c r="AM310" s="75">
        <f>AJ310</f>
        <v>0</v>
      </c>
      <c r="AN310" s="156"/>
      <c r="AO310" s="156"/>
      <c r="AP310" s="156"/>
      <c r="AQ310" s="156"/>
      <c r="AR310" s="75">
        <f>AL310+AN310+AO310+AP310+AQ310</f>
        <v>3194</v>
      </c>
      <c r="AS310" s="75">
        <f>AM310+AQ310</f>
        <v>0</v>
      </c>
      <c r="AT310" s="159"/>
      <c r="AU310" s="159"/>
      <c r="AV310" s="159"/>
      <c r="AW310" s="76">
        <f>AV310+AU310+AT310+AR310</f>
        <v>3194</v>
      </c>
      <c r="AX310" s="76">
        <f>AV310+AS310</f>
        <v>0</v>
      </c>
      <c r="AY310" s="75">
        <v>-21</v>
      </c>
      <c r="AZ310" s="157"/>
      <c r="BA310" s="157"/>
      <c r="BB310" s="157"/>
      <c r="BC310" s="157"/>
      <c r="BD310" s="75">
        <f>AW310+AY310+AZ310+BA310+BB310+BC310</f>
        <v>3173</v>
      </c>
      <c r="BE310" s="75">
        <f>AX310+BC310</f>
        <v>0</v>
      </c>
      <c r="BF310" s="156"/>
      <c r="BG310" s="156"/>
      <c r="BH310" s="156"/>
      <c r="BI310" s="75">
        <f>BD310+BF310+BG310+BH310</f>
        <v>3173</v>
      </c>
      <c r="BJ310" s="75">
        <f>BE310+BH310</f>
        <v>0</v>
      </c>
      <c r="BK310" s="158"/>
      <c r="BL310" s="158"/>
      <c r="BM310" s="158"/>
      <c r="BN310" s="158"/>
      <c r="BO310" s="75">
        <f>BI310+BK310+BL310+BM310+BN310</f>
        <v>3173</v>
      </c>
      <c r="BP310" s="75">
        <f>BJ310+BN310</f>
        <v>0</v>
      </c>
      <c r="BQ310" s="78">
        <v>-4</v>
      </c>
      <c r="BR310" s="78"/>
      <c r="BS310" s="78">
        <v>555</v>
      </c>
      <c r="BT310" s="156"/>
      <c r="BU310" s="75">
        <f>BO310+BQ310+BS310+BT310</f>
        <v>3724</v>
      </c>
      <c r="BV310" s="75">
        <f>BP310+BT310</f>
        <v>0</v>
      </c>
      <c r="BW310" s="75">
        <v>3712</v>
      </c>
      <c r="BX310" s="75"/>
      <c r="BY310" s="77">
        <f t="shared" si="349"/>
        <v>99.67776584317937</v>
      </c>
      <c r="BZ310" s="72"/>
    </row>
    <row r="311" spans="1:78" s="10" customFormat="1" ht="52.5" customHeight="1" hidden="1">
      <c r="A311" s="88" t="s">
        <v>84</v>
      </c>
      <c r="B311" s="89" t="s">
        <v>155</v>
      </c>
      <c r="C311" s="89" t="s">
        <v>127</v>
      </c>
      <c r="D311" s="90" t="s">
        <v>85</v>
      </c>
      <c r="E311" s="89"/>
      <c r="F311" s="91">
        <f>F312</f>
        <v>14005</v>
      </c>
      <c r="G311" s="91">
        <f>G312</f>
        <v>5364</v>
      </c>
      <c r="H311" s="91">
        <f>H312</f>
        <v>19369</v>
      </c>
      <c r="I311" s="91">
        <f aca="true" t="shared" si="401" ref="I311:BW311">I312</f>
        <v>0</v>
      </c>
      <c r="J311" s="91">
        <f t="shared" si="401"/>
        <v>0</v>
      </c>
      <c r="K311" s="91">
        <f t="shared" si="401"/>
        <v>0</v>
      </c>
      <c r="L311" s="91">
        <f t="shared" si="401"/>
        <v>0</v>
      </c>
      <c r="M311" s="91">
        <f t="shared" si="401"/>
        <v>19369</v>
      </c>
      <c r="N311" s="91">
        <f t="shared" si="401"/>
        <v>0</v>
      </c>
      <c r="O311" s="91">
        <f t="shared" si="401"/>
        <v>0</v>
      </c>
      <c r="P311" s="91">
        <f t="shared" si="401"/>
        <v>0</v>
      </c>
      <c r="Q311" s="91">
        <f t="shared" si="401"/>
        <v>0</v>
      </c>
      <c r="R311" s="91">
        <f t="shared" si="401"/>
        <v>0</v>
      </c>
      <c r="S311" s="91">
        <f t="shared" si="401"/>
        <v>19369</v>
      </c>
      <c r="T311" s="91">
        <f t="shared" si="401"/>
        <v>0</v>
      </c>
      <c r="U311" s="91">
        <f t="shared" si="401"/>
        <v>0</v>
      </c>
      <c r="V311" s="91">
        <f t="shared" si="401"/>
        <v>0</v>
      </c>
      <c r="W311" s="91">
        <f t="shared" si="401"/>
        <v>0</v>
      </c>
      <c r="X311" s="91">
        <f t="shared" si="401"/>
        <v>0</v>
      </c>
      <c r="Y311" s="91">
        <f t="shared" si="401"/>
        <v>0</v>
      </c>
      <c r="Z311" s="91">
        <f t="shared" si="401"/>
        <v>0</v>
      </c>
      <c r="AA311" s="91">
        <f t="shared" si="401"/>
        <v>0</v>
      </c>
      <c r="AB311" s="91">
        <f t="shared" si="401"/>
        <v>19369</v>
      </c>
      <c r="AC311" s="91">
        <f t="shared" si="401"/>
        <v>0</v>
      </c>
      <c r="AD311" s="91">
        <f t="shared" si="401"/>
        <v>1</v>
      </c>
      <c r="AE311" s="91">
        <f t="shared" si="401"/>
        <v>889</v>
      </c>
      <c r="AF311" s="91">
        <f t="shared" si="401"/>
        <v>0</v>
      </c>
      <c r="AG311" s="91">
        <f t="shared" si="401"/>
        <v>0</v>
      </c>
      <c r="AH311" s="91">
        <f t="shared" si="401"/>
        <v>0</v>
      </c>
      <c r="AI311" s="91">
        <f t="shared" si="401"/>
        <v>20259</v>
      </c>
      <c r="AJ311" s="91">
        <f t="shared" si="401"/>
        <v>0</v>
      </c>
      <c r="AK311" s="91">
        <f t="shared" si="401"/>
        <v>0</v>
      </c>
      <c r="AL311" s="91">
        <f t="shared" si="401"/>
        <v>20259</v>
      </c>
      <c r="AM311" s="91">
        <f t="shared" si="401"/>
        <v>0</v>
      </c>
      <c r="AN311" s="91">
        <f t="shared" si="401"/>
        <v>0</v>
      </c>
      <c r="AO311" s="91">
        <f t="shared" si="401"/>
        <v>919</v>
      </c>
      <c r="AP311" s="91">
        <f t="shared" si="401"/>
        <v>1</v>
      </c>
      <c r="AQ311" s="91">
        <f t="shared" si="401"/>
        <v>0</v>
      </c>
      <c r="AR311" s="91">
        <f t="shared" si="401"/>
        <v>21179</v>
      </c>
      <c r="AS311" s="91">
        <f t="shared" si="401"/>
        <v>0</v>
      </c>
      <c r="AT311" s="92">
        <f t="shared" si="401"/>
        <v>0</v>
      </c>
      <c r="AU311" s="92">
        <f t="shared" si="401"/>
        <v>0</v>
      </c>
      <c r="AV311" s="92">
        <f t="shared" si="401"/>
        <v>0</v>
      </c>
      <c r="AW311" s="92">
        <f t="shared" si="401"/>
        <v>21179</v>
      </c>
      <c r="AX311" s="92">
        <f t="shared" si="401"/>
        <v>0</v>
      </c>
      <c r="AY311" s="91">
        <f t="shared" si="401"/>
        <v>-1540</v>
      </c>
      <c r="AZ311" s="91">
        <f t="shared" si="401"/>
        <v>0</v>
      </c>
      <c r="BA311" s="91">
        <f t="shared" si="401"/>
        <v>0</v>
      </c>
      <c r="BB311" s="91">
        <f t="shared" si="401"/>
        <v>0</v>
      </c>
      <c r="BC311" s="91">
        <f t="shared" si="401"/>
        <v>0</v>
      </c>
      <c r="BD311" s="91">
        <f t="shared" si="401"/>
        <v>19639</v>
      </c>
      <c r="BE311" s="91">
        <f t="shared" si="401"/>
        <v>0</v>
      </c>
      <c r="BF311" s="91">
        <f t="shared" si="401"/>
        <v>0</v>
      </c>
      <c r="BG311" s="91">
        <f t="shared" si="401"/>
        <v>0</v>
      </c>
      <c r="BH311" s="91">
        <f t="shared" si="401"/>
        <v>0</v>
      </c>
      <c r="BI311" s="91">
        <f t="shared" si="401"/>
        <v>19639</v>
      </c>
      <c r="BJ311" s="91">
        <f t="shared" si="401"/>
        <v>0</v>
      </c>
      <c r="BK311" s="91">
        <f t="shared" si="401"/>
        <v>0</v>
      </c>
      <c r="BL311" s="91">
        <f t="shared" si="401"/>
        <v>0</v>
      </c>
      <c r="BM311" s="91">
        <f t="shared" si="401"/>
        <v>-3582</v>
      </c>
      <c r="BN311" s="91">
        <f t="shared" si="401"/>
        <v>0</v>
      </c>
      <c r="BO311" s="91">
        <f t="shared" si="401"/>
        <v>16057</v>
      </c>
      <c r="BP311" s="91">
        <f t="shared" si="401"/>
        <v>0</v>
      </c>
      <c r="BQ311" s="91">
        <f t="shared" si="401"/>
        <v>0</v>
      </c>
      <c r="BR311" s="91"/>
      <c r="BS311" s="91">
        <f t="shared" si="401"/>
        <v>0</v>
      </c>
      <c r="BT311" s="91">
        <f t="shared" si="401"/>
        <v>0</v>
      </c>
      <c r="BU311" s="91">
        <f t="shared" si="401"/>
        <v>16057</v>
      </c>
      <c r="BV311" s="91">
        <f>BV312</f>
        <v>0</v>
      </c>
      <c r="BW311" s="91">
        <f t="shared" si="401"/>
        <v>15119</v>
      </c>
      <c r="BX311" s="91">
        <f>BX312</f>
        <v>0</v>
      </c>
      <c r="BY311" s="77">
        <f t="shared" si="349"/>
        <v>94.15831101700192</v>
      </c>
      <c r="BZ311" s="72"/>
    </row>
    <row r="312" spans="1:78" s="10" customFormat="1" ht="37.5" customHeight="1" hidden="1">
      <c r="A312" s="88" t="s">
        <v>129</v>
      </c>
      <c r="B312" s="89" t="s">
        <v>155</v>
      </c>
      <c r="C312" s="89" t="s">
        <v>127</v>
      </c>
      <c r="D312" s="90" t="s">
        <v>85</v>
      </c>
      <c r="E312" s="89" t="s">
        <v>130</v>
      </c>
      <c r="F312" s="99">
        <v>14005</v>
      </c>
      <c r="G312" s="75">
        <f>H312-F312</f>
        <v>5364</v>
      </c>
      <c r="H312" s="100">
        <v>19369</v>
      </c>
      <c r="I312" s="165"/>
      <c r="J312" s="165"/>
      <c r="K312" s="165"/>
      <c r="L312" s="165"/>
      <c r="M312" s="75">
        <f>H312+J312+K312+L312</f>
        <v>19369</v>
      </c>
      <c r="N312" s="78">
        <f>I312+L312</f>
        <v>0</v>
      </c>
      <c r="O312" s="165"/>
      <c r="P312" s="100"/>
      <c r="Q312" s="78"/>
      <c r="R312" s="156"/>
      <c r="S312" s="75">
        <f>M312+O312+P312+Q312+R312</f>
        <v>19369</v>
      </c>
      <c r="T312" s="75">
        <f>N312+R312</f>
        <v>0</v>
      </c>
      <c r="U312" s="78"/>
      <c r="V312" s="78"/>
      <c r="W312" s="156"/>
      <c r="X312" s="156"/>
      <c r="Y312" s="156"/>
      <c r="Z312" s="156"/>
      <c r="AA312" s="156"/>
      <c r="AB312" s="75">
        <f>S312+U312+V312+W312+X312+Y312+Z312+AA312</f>
        <v>19369</v>
      </c>
      <c r="AC312" s="75">
        <f>T312+Z312+AA312</f>
        <v>0</v>
      </c>
      <c r="AD312" s="78">
        <v>1</v>
      </c>
      <c r="AE312" s="78">
        <v>889</v>
      </c>
      <c r="AF312" s="157"/>
      <c r="AG312" s="156"/>
      <c r="AH312" s="156"/>
      <c r="AI312" s="75">
        <f>AB312+AD312+AE312+AF312+AG312+AH312</f>
        <v>20259</v>
      </c>
      <c r="AJ312" s="75">
        <f>AC312+AH312</f>
        <v>0</v>
      </c>
      <c r="AK312" s="156"/>
      <c r="AL312" s="75">
        <f>AI312+AK312</f>
        <v>20259</v>
      </c>
      <c r="AM312" s="75">
        <f>AJ312</f>
        <v>0</v>
      </c>
      <c r="AN312" s="156"/>
      <c r="AO312" s="78">
        <v>919</v>
      </c>
      <c r="AP312" s="78">
        <v>1</v>
      </c>
      <c r="AQ312" s="156"/>
      <c r="AR312" s="75">
        <f>AL312+AN312+AO312+AP312+AQ312</f>
        <v>21179</v>
      </c>
      <c r="AS312" s="75">
        <f>AM312+AQ312</f>
        <v>0</v>
      </c>
      <c r="AT312" s="159"/>
      <c r="AU312" s="159"/>
      <c r="AV312" s="159"/>
      <c r="AW312" s="76">
        <f>AV312+AU312+AT312+AR312</f>
        <v>21179</v>
      </c>
      <c r="AX312" s="76">
        <f>AV312+AS312</f>
        <v>0</v>
      </c>
      <c r="AY312" s="75">
        <v>-1540</v>
      </c>
      <c r="AZ312" s="157"/>
      <c r="BA312" s="157"/>
      <c r="BB312" s="157"/>
      <c r="BC312" s="157"/>
      <c r="BD312" s="75">
        <f>AW312+AY312+AZ312+BA312+BB312+BC312</f>
        <v>19639</v>
      </c>
      <c r="BE312" s="75">
        <f>AX312+BC312</f>
        <v>0</v>
      </c>
      <c r="BF312" s="156"/>
      <c r="BG312" s="156"/>
      <c r="BH312" s="156"/>
      <c r="BI312" s="75">
        <f>BD312+BF312+BG312+BH312</f>
        <v>19639</v>
      </c>
      <c r="BJ312" s="75">
        <f>BE312+BH312</f>
        <v>0</v>
      </c>
      <c r="BK312" s="78"/>
      <c r="BL312" s="158"/>
      <c r="BM312" s="75">
        <v>-3582</v>
      </c>
      <c r="BN312" s="158"/>
      <c r="BO312" s="75">
        <f>BI312+BK312+BL312+BM312+BN312</f>
        <v>16057</v>
      </c>
      <c r="BP312" s="75">
        <f>BJ312+BN312</f>
        <v>0</v>
      </c>
      <c r="BQ312" s="156"/>
      <c r="BR312" s="156"/>
      <c r="BS312" s="156"/>
      <c r="BT312" s="156"/>
      <c r="BU312" s="75">
        <f>BO312+BQ312+BS312+BT312</f>
        <v>16057</v>
      </c>
      <c r="BV312" s="75">
        <f>BP312+BT312</f>
        <v>0</v>
      </c>
      <c r="BW312" s="75">
        <v>15119</v>
      </c>
      <c r="BX312" s="75">
        <f>BR312+BV312</f>
        <v>0</v>
      </c>
      <c r="BY312" s="77">
        <f t="shared" si="349"/>
        <v>94.15831101700192</v>
      </c>
      <c r="BZ312" s="72"/>
    </row>
    <row r="313" spans="1:78" s="10" customFormat="1" ht="20.25" hidden="1">
      <c r="A313" s="88" t="s">
        <v>86</v>
      </c>
      <c r="B313" s="89" t="s">
        <v>155</v>
      </c>
      <c r="C313" s="89" t="s">
        <v>127</v>
      </c>
      <c r="D313" s="90" t="s">
        <v>87</v>
      </c>
      <c r="E313" s="89"/>
      <c r="F313" s="91">
        <f>F314</f>
        <v>15513</v>
      </c>
      <c r="G313" s="91">
        <f>G314</f>
        <v>4180</v>
      </c>
      <c r="H313" s="91">
        <f>H314</f>
        <v>19693</v>
      </c>
      <c r="I313" s="91">
        <f aca="true" t="shared" si="402" ref="I313:BW313">I314</f>
        <v>0</v>
      </c>
      <c r="J313" s="91">
        <f t="shared" si="402"/>
        <v>0</v>
      </c>
      <c r="K313" s="91">
        <f t="shared" si="402"/>
        <v>0</v>
      </c>
      <c r="L313" s="91">
        <f t="shared" si="402"/>
        <v>0</v>
      </c>
      <c r="M313" s="91">
        <f t="shared" si="402"/>
        <v>19693</v>
      </c>
      <c r="N313" s="91">
        <f t="shared" si="402"/>
        <v>0</v>
      </c>
      <c r="O313" s="91">
        <f t="shared" si="402"/>
        <v>0</v>
      </c>
      <c r="P313" s="91">
        <f t="shared" si="402"/>
        <v>0</v>
      </c>
      <c r="Q313" s="91">
        <f t="shared" si="402"/>
        <v>0</v>
      </c>
      <c r="R313" s="91">
        <f t="shared" si="402"/>
        <v>0</v>
      </c>
      <c r="S313" s="91">
        <f t="shared" si="402"/>
        <v>19693</v>
      </c>
      <c r="T313" s="91">
        <f t="shared" si="402"/>
        <v>0</v>
      </c>
      <c r="U313" s="91">
        <f t="shared" si="402"/>
        <v>0</v>
      </c>
      <c r="V313" s="91">
        <f t="shared" si="402"/>
        <v>0</v>
      </c>
      <c r="W313" s="91">
        <f t="shared" si="402"/>
        <v>0</v>
      </c>
      <c r="X313" s="91">
        <f t="shared" si="402"/>
        <v>0</v>
      </c>
      <c r="Y313" s="91">
        <f t="shared" si="402"/>
        <v>0</v>
      </c>
      <c r="Z313" s="91">
        <f t="shared" si="402"/>
        <v>0</v>
      </c>
      <c r="AA313" s="91">
        <f t="shared" si="402"/>
        <v>0</v>
      </c>
      <c r="AB313" s="91">
        <f t="shared" si="402"/>
        <v>19693</v>
      </c>
      <c r="AC313" s="91">
        <f t="shared" si="402"/>
        <v>0</v>
      </c>
      <c r="AD313" s="91">
        <f t="shared" si="402"/>
        <v>1</v>
      </c>
      <c r="AE313" s="91">
        <f t="shared" si="402"/>
        <v>102</v>
      </c>
      <c r="AF313" s="91">
        <f t="shared" si="402"/>
        <v>-1520</v>
      </c>
      <c r="AG313" s="91">
        <f t="shared" si="402"/>
        <v>0</v>
      </c>
      <c r="AH313" s="91">
        <f t="shared" si="402"/>
        <v>0</v>
      </c>
      <c r="AI313" s="91">
        <f t="shared" si="402"/>
        <v>18276</v>
      </c>
      <c r="AJ313" s="91">
        <f t="shared" si="402"/>
        <v>0</v>
      </c>
      <c r="AK313" s="91">
        <f t="shared" si="402"/>
        <v>0</v>
      </c>
      <c r="AL313" s="91">
        <f t="shared" si="402"/>
        <v>18276</v>
      </c>
      <c r="AM313" s="91">
        <f t="shared" si="402"/>
        <v>0</v>
      </c>
      <c r="AN313" s="91">
        <f t="shared" si="402"/>
        <v>0</v>
      </c>
      <c r="AO313" s="91">
        <f t="shared" si="402"/>
        <v>109</v>
      </c>
      <c r="AP313" s="91">
        <f t="shared" si="402"/>
        <v>1</v>
      </c>
      <c r="AQ313" s="91">
        <f t="shared" si="402"/>
        <v>0</v>
      </c>
      <c r="AR313" s="91">
        <f t="shared" si="402"/>
        <v>18386</v>
      </c>
      <c r="AS313" s="91">
        <f t="shared" si="402"/>
        <v>0</v>
      </c>
      <c r="AT313" s="92">
        <f t="shared" si="402"/>
        <v>0</v>
      </c>
      <c r="AU313" s="92">
        <f t="shared" si="402"/>
        <v>0</v>
      </c>
      <c r="AV313" s="92">
        <f t="shared" si="402"/>
        <v>0</v>
      </c>
      <c r="AW313" s="92">
        <f t="shared" si="402"/>
        <v>18386</v>
      </c>
      <c r="AX313" s="92">
        <f t="shared" si="402"/>
        <v>0</v>
      </c>
      <c r="AY313" s="91">
        <f t="shared" si="402"/>
        <v>-1612</v>
      </c>
      <c r="AZ313" s="91">
        <f t="shared" si="402"/>
        <v>0</v>
      </c>
      <c r="BA313" s="91">
        <f t="shared" si="402"/>
        <v>0</v>
      </c>
      <c r="BB313" s="91">
        <f t="shared" si="402"/>
        <v>0</v>
      </c>
      <c r="BC313" s="91">
        <f t="shared" si="402"/>
        <v>0</v>
      </c>
      <c r="BD313" s="91">
        <f t="shared" si="402"/>
        <v>16774</v>
      </c>
      <c r="BE313" s="91">
        <f t="shared" si="402"/>
        <v>0</v>
      </c>
      <c r="BF313" s="91">
        <f t="shared" si="402"/>
        <v>0</v>
      </c>
      <c r="BG313" s="91">
        <f t="shared" si="402"/>
        <v>0</v>
      </c>
      <c r="BH313" s="91">
        <f t="shared" si="402"/>
        <v>0</v>
      </c>
      <c r="BI313" s="91">
        <f t="shared" si="402"/>
        <v>16774</v>
      </c>
      <c r="BJ313" s="91">
        <f t="shared" si="402"/>
        <v>0</v>
      </c>
      <c r="BK313" s="91">
        <f t="shared" si="402"/>
        <v>1</v>
      </c>
      <c r="BL313" s="91">
        <f t="shared" si="402"/>
        <v>0</v>
      </c>
      <c r="BM313" s="91">
        <f t="shared" si="402"/>
        <v>0</v>
      </c>
      <c r="BN313" s="91">
        <f t="shared" si="402"/>
        <v>0</v>
      </c>
      <c r="BO313" s="91">
        <f t="shared" si="402"/>
        <v>16775</v>
      </c>
      <c r="BP313" s="91">
        <f t="shared" si="402"/>
        <v>0</v>
      </c>
      <c r="BQ313" s="91">
        <f t="shared" si="402"/>
        <v>0</v>
      </c>
      <c r="BR313" s="91"/>
      <c r="BS313" s="91">
        <f t="shared" si="402"/>
        <v>0</v>
      </c>
      <c r="BT313" s="91">
        <f t="shared" si="402"/>
        <v>0</v>
      </c>
      <c r="BU313" s="91">
        <f t="shared" si="402"/>
        <v>16775</v>
      </c>
      <c r="BV313" s="91">
        <f>BV314</f>
        <v>0</v>
      </c>
      <c r="BW313" s="91">
        <f t="shared" si="402"/>
        <v>16624</v>
      </c>
      <c r="BX313" s="91">
        <f>BX314</f>
        <v>0</v>
      </c>
      <c r="BY313" s="77">
        <f t="shared" si="349"/>
        <v>99.09985096870344</v>
      </c>
      <c r="BZ313" s="72"/>
    </row>
    <row r="314" spans="1:78" s="10" customFormat="1" ht="36.75" customHeight="1" hidden="1">
      <c r="A314" s="88" t="s">
        <v>129</v>
      </c>
      <c r="B314" s="89" t="s">
        <v>155</v>
      </c>
      <c r="C314" s="89" t="s">
        <v>127</v>
      </c>
      <c r="D314" s="90" t="s">
        <v>87</v>
      </c>
      <c r="E314" s="89" t="s">
        <v>130</v>
      </c>
      <c r="F314" s="99">
        <v>15513</v>
      </c>
      <c r="G314" s="75">
        <f>H314-F314</f>
        <v>4180</v>
      </c>
      <c r="H314" s="100">
        <v>19693</v>
      </c>
      <c r="I314" s="165"/>
      <c r="J314" s="165"/>
      <c r="K314" s="165"/>
      <c r="L314" s="165"/>
      <c r="M314" s="75">
        <f>H314+J314+K314+L314</f>
        <v>19693</v>
      </c>
      <c r="N314" s="78">
        <f>I314+L314</f>
        <v>0</v>
      </c>
      <c r="O314" s="165"/>
      <c r="P314" s="100"/>
      <c r="Q314" s="78"/>
      <c r="R314" s="156"/>
      <c r="S314" s="75">
        <f>M314+O314+P314+Q314+R314</f>
        <v>19693</v>
      </c>
      <c r="T314" s="75">
        <f>N314+R314</f>
        <v>0</v>
      </c>
      <c r="U314" s="78"/>
      <c r="V314" s="78"/>
      <c r="W314" s="156"/>
      <c r="X314" s="156"/>
      <c r="Y314" s="156"/>
      <c r="Z314" s="156"/>
      <c r="AA314" s="156"/>
      <c r="AB314" s="75">
        <f>S314+U314+V314+W314+X314+Y314+Z314+AA314</f>
        <v>19693</v>
      </c>
      <c r="AC314" s="75">
        <f>T314+Z314+AA314</f>
        <v>0</v>
      </c>
      <c r="AD314" s="78">
        <v>1</v>
      </c>
      <c r="AE314" s="78">
        <v>102</v>
      </c>
      <c r="AF314" s="75">
        <v>-1520</v>
      </c>
      <c r="AG314" s="156"/>
      <c r="AH314" s="156"/>
      <c r="AI314" s="75">
        <f>AB314+AD314+AE314+AF314+AG314+AH314</f>
        <v>18276</v>
      </c>
      <c r="AJ314" s="75">
        <f>AC314+AH314</f>
        <v>0</v>
      </c>
      <c r="AK314" s="156"/>
      <c r="AL314" s="75">
        <f>AI314+AK314</f>
        <v>18276</v>
      </c>
      <c r="AM314" s="75">
        <f>AJ314</f>
        <v>0</v>
      </c>
      <c r="AN314" s="156"/>
      <c r="AO314" s="78">
        <v>109</v>
      </c>
      <c r="AP314" s="78">
        <v>1</v>
      </c>
      <c r="AQ314" s="156"/>
      <c r="AR314" s="75">
        <f>AL314+AN314+AO314+AP314+AQ314</f>
        <v>18386</v>
      </c>
      <c r="AS314" s="75">
        <f>AM314+AQ314</f>
        <v>0</v>
      </c>
      <c r="AT314" s="159"/>
      <c r="AU314" s="159"/>
      <c r="AV314" s="159"/>
      <c r="AW314" s="76">
        <f>AV314+AU314+AT314+AR314</f>
        <v>18386</v>
      </c>
      <c r="AX314" s="76">
        <f>AV314+AS314</f>
        <v>0</v>
      </c>
      <c r="AY314" s="75">
        <v>-1612</v>
      </c>
      <c r="AZ314" s="157"/>
      <c r="BA314" s="157"/>
      <c r="BB314" s="157"/>
      <c r="BC314" s="157"/>
      <c r="BD314" s="75">
        <f>AW314+AY314+AZ314+BA314+BB314+BC314</f>
        <v>16774</v>
      </c>
      <c r="BE314" s="75">
        <f>AX314+BC314</f>
        <v>0</v>
      </c>
      <c r="BF314" s="156"/>
      <c r="BG314" s="156"/>
      <c r="BH314" s="156"/>
      <c r="BI314" s="75">
        <f>BD314+BF314+BG314+BH314</f>
        <v>16774</v>
      </c>
      <c r="BJ314" s="75">
        <f>BE314+BH314</f>
        <v>0</v>
      </c>
      <c r="BK314" s="78">
        <v>1</v>
      </c>
      <c r="BL314" s="158"/>
      <c r="BM314" s="158"/>
      <c r="BN314" s="158"/>
      <c r="BO314" s="75">
        <f>BI314+BK314+BL314+BM314+BN314</f>
        <v>16775</v>
      </c>
      <c r="BP314" s="75">
        <f>BJ314+BN314</f>
        <v>0</v>
      </c>
      <c r="BQ314" s="156"/>
      <c r="BR314" s="156"/>
      <c r="BS314" s="156"/>
      <c r="BT314" s="156"/>
      <c r="BU314" s="75">
        <f>BO314+BQ314+BS314+BT314</f>
        <v>16775</v>
      </c>
      <c r="BV314" s="75">
        <f>BP314+BT314</f>
        <v>0</v>
      </c>
      <c r="BW314" s="75">
        <v>16624</v>
      </c>
      <c r="BX314" s="75">
        <f>BR314+BV314</f>
        <v>0</v>
      </c>
      <c r="BY314" s="77">
        <f t="shared" si="349"/>
        <v>99.09985096870344</v>
      </c>
      <c r="BZ314" s="72"/>
    </row>
    <row r="315" spans="1:78" s="10" customFormat="1" ht="20.25" hidden="1">
      <c r="A315" s="88" t="s">
        <v>88</v>
      </c>
      <c r="B315" s="89" t="s">
        <v>155</v>
      </c>
      <c r="C315" s="89" t="s">
        <v>127</v>
      </c>
      <c r="D315" s="90" t="s">
        <v>89</v>
      </c>
      <c r="E315" s="89"/>
      <c r="F315" s="91">
        <f>F316</f>
        <v>64209</v>
      </c>
      <c r="G315" s="91">
        <f>G316</f>
        <v>3896</v>
      </c>
      <c r="H315" s="91">
        <f>H316</f>
        <v>68105</v>
      </c>
      <c r="I315" s="91">
        <f aca="true" t="shared" si="403" ref="I315:BW315">I316</f>
        <v>0</v>
      </c>
      <c r="J315" s="91">
        <f t="shared" si="403"/>
        <v>0</v>
      </c>
      <c r="K315" s="91">
        <f t="shared" si="403"/>
        <v>0</v>
      </c>
      <c r="L315" s="91">
        <f t="shared" si="403"/>
        <v>0</v>
      </c>
      <c r="M315" s="91">
        <f t="shared" si="403"/>
        <v>68105</v>
      </c>
      <c r="N315" s="91">
        <f t="shared" si="403"/>
        <v>0</v>
      </c>
      <c r="O315" s="91">
        <f t="shared" si="403"/>
        <v>0</v>
      </c>
      <c r="P315" s="91">
        <f t="shared" si="403"/>
        <v>0</v>
      </c>
      <c r="Q315" s="91">
        <f t="shared" si="403"/>
        <v>0</v>
      </c>
      <c r="R315" s="91">
        <f t="shared" si="403"/>
        <v>0</v>
      </c>
      <c r="S315" s="91">
        <f t="shared" si="403"/>
        <v>68105</v>
      </c>
      <c r="T315" s="91">
        <f t="shared" si="403"/>
        <v>0</v>
      </c>
      <c r="U315" s="91">
        <f t="shared" si="403"/>
        <v>0</v>
      </c>
      <c r="V315" s="91">
        <f t="shared" si="403"/>
        <v>0</v>
      </c>
      <c r="W315" s="91">
        <f t="shared" si="403"/>
        <v>0</v>
      </c>
      <c r="X315" s="91">
        <f t="shared" si="403"/>
        <v>0</v>
      </c>
      <c r="Y315" s="91">
        <f t="shared" si="403"/>
        <v>0</v>
      </c>
      <c r="Z315" s="91">
        <f t="shared" si="403"/>
        <v>0</v>
      </c>
      <c r="AA315" s="91">
        <f t="shared" si="403"/>
        <v>0</v>
      </c>
      <c r="AB315" s="91">
        <f t="shared" si="403"/>
        <v>68105</v>
      </c>
      <c r="AC315" s="91">
        <f t="shared" si="403"/>
        <v>0</v>
      </c>
      <c r="AD315" s="91">
        <f t="shared" si="403"/>
        <v>1</v>
      </c>
      <c r="AE315" s="91">
        <f t="shared" si="403"/>
        <v>246</v>
      </c>
      <c r="AF315" s="91">
        <f t="shared" si="403"/>
        <v>-2591</v>
      </c>
      <c r="AG315" s="91">
        <f t="shared" si="403"/>
        <v>0</v>
      </c>
      <c r="AH315" s="91">
        <f t="shared" si="403"/>
        <v>0</v>
      </c>
      <c r="AI315" s="91">
        <f t="shared" si="403"/>
        <v>65761</v>
      </c>
      <c r="AJ315" s="91">
        <f t="shared" si="403"/>
        <v>0</v>
      </c>
      <c r="AK315" s="91">
        <f t="shared" si="403"/>
        <v>0</v>
      </c>
      <c r="AL315" s="91">
        <f t="shared" si="403"/>
        <v>65761</v>
      </c>
      <c r="AM315" s="91">
        <f t="shared" si="403"/>
        <v>0</v>
      </c>
      <c r="AN315" s="91">
        <f t="shared" si="403"/>
        <v>0</v>
      </c>
      <c r="AO315" s="91">
        <f t="shared" si="403"/>
        <v>118</v>
      </c>
      <c r="AP315" s="91">
        <f t="shared" si="403"/>
        <v>0</v>
      </c>
      <c r="AQ315" s="91">
        <f t="shared" si="403"/>
        <v>0</v>
      </c>
      <c r="AR315" s="91">
        <f t="shared" si="403"/>
        <v>65879</v>
      </c>
      <c r="AS315" s="91">
        <f t="shared" si="403"/>
        <v>0</v>
      </c>
      <c r="AT315" s="92">
        <f t="shared" si="403"/>
        <v>0</v>
      </c>
      <c r="AU315" s="92">
        <f t="shared" si="403"/>
        <v>0</v>
      </c>
      <c r="AV315" s="92">
        <f t="shared" si="403"/>
        <v>0</v>
      </c>
      <c r="AW315" s="92">
        <f t="shared" si="403"/>
        <v>65879</v>
      </c>
      <c r="AX315" s="92">
        <f t="shared" si="403"/>
        <v>0</v>
      </c>
      <c r="AY315" s="91">
        <f t="shared" si="403"/>
        <v>-4961</v>
      </c>
      <c r="AZ315" s="91">
        <f t="shared" si="403"/>
        <v>0</v>
      </c>
      <c r="BA315" s="91">
        <f t="shared" si="403"/>
        <v>0</v>
      </c>
      <c r="BB315" s="91"/>
      <c r="BC315" s="91">
        <f t="shared" si="403"/>
        <v>0</v>
      </c>
      <c r="BD315" s="91">
        <f t="shared" si="403"/>
        <v>60918</v>
      </c>
      <c r="BE315" s="91">
        <f t="shared" si="403"/>
        <v>0</v>
      </c>
      <c r="BF315" s="91">
        <f t="shared" si="403"/>
        <v>0</v>
      </c>
      <c r="BG315" s="91">
        <f t="shared" si="403"/>
        <v>0</v>
      </c>
      <c r="BH315" s="91">
        <f t="shared" si="403"/>
        <v>0</v>
      </c>
      <c r="BI315" s="91">
        <f t="shared" si="403"/>
        <v>60918</v>
      </c>
      <c r="BJ315" s="91">
        <f t="shared" si="403"/>
        <v>0</v>
      </c>
      <c r="BK315" s="91">
        <f t="shared" si="403"/>
        <v>81</v>
      </c>
      <c r="BL315" s="91">
        <f t="shared" si="403"/>
        <v>0</v>
      </c>
      <c r="BM315" s="91">
        <f t="shared" si="403"/>
        <v>0</v>
      </c>
      <c r="BN315" s="91">
        <f t="shared" si="403"/>
        <v>0</v>
      </c>
      <c r="BO315" s="91">
        <f t="shared" si="403"/>
        <v>60999</v>
      </c>
      <c r="BP315" s="91">
        <f t="shared" si="403"/>
        <v>0</v>
      </c>
      <c r="BQ315" s="91">
        <f t="shared" si="403"/>
        <v>-51</v>
      </c>
      <c r="BR315" s="91"/>
      <c r="BS315" s="91">
        <f t="shared" si="403"/>
        <v>0</v>
      </c>
      <c r="BT315" s="91">
        <f t="shared" si="403"/>
        <v>0</v>
      </c>
      <c r="BU315" s="91">
        <f t="shared" si="403"/>
        <v>60948</v>
      </c>
      <c r="BV315" s="91">
        <f>BV316</f>
        <v>0</v>
      </c>
      <c r="BW315" s="91">
        <f t="shared" si="403"/>
        <v>60292</v>
      </c>
      <c r="BX315" s="91">
        <f>BX316</f>
        <v>0</v>
      </c>
      <c r="BY315" s="77">
        <f t="shared" si="349"/>
        <v>98.92367263897093</v>
      </c>
      <c r="BZ315" s="72"/>
    </row>
    <row r="316" spans="1:78" s="10" customFormat="1" ht="35.25" customHeight="1" hidden="1">
      <c r="A316" s="88" t="s">
        <v>129</v>
      </c>
      <c r="B316" s="89" t="s">
        <v>155</v>
      </c>
      <c r="C316" s="89" t="s">
        <v>127</v>
      </c>
      <c r="D316" s="90" t="s">
        <v>89</v>
      </c>
      <c r="E316" s="89" t="s">
        <v>130</v>
      </c>
      <c r="F316" s="99">
        <v>64209</v>
      </c>
      <c r="G316" s="75">
        <f>H316-F316</f>
        <v>3896</v>
      </c>
      <c r="H316" s="100">
        <v>68105</v>
      </c>
      <c r="I316" s="165"/>
      <c r="J316" s="165"/>
      <c r="K316" s="165"/>
      <c r="L316" s="165"/>
      <c r="M316" s="75">
        <f>H316+J316+K316+L316</f>
        <v>68105</v>
      </c>
      <c r="N316" s="78">
        <f>I316+L316</f>
        <v>0</v>
      </c>
      <c r="O316" s="165"/>
      <c r="P316" s="100"/>
      <c r="Q316" s="78"/>
      <c r="R316" s="156"/>
      <c r="S316" s="75">
        <f>M316+O316+P316+Q316+R316</f>
        <v>68105</v>
      </c>
      <c r="T316" s="75">
        <f>N316+R316</f>
        <v>0</v>
      </c>
      <c r="U316" s="78"/>
      <c r="V316" s="78"/>
      <c r="W316" s="156"/>
      <c r="X316" s="156"/>
      <c r="Y316" s="156"/>
      <c r="Z316" s="156"/>
      <c r="AA316" s="156"/>
      <c r="AB316" s="75">
        <f>S316+U316+V316+W316+X316+Y316+Z316+AA316</f>
        <v>68105</v>
      </c>
      <c r="AC316" s="75">
        <f>T316+Z316+AA316</f>
        <v>0</v>
      </c>
      <c r="AD316" s="78">
        <v>1</v>
      </c>
      <c r="AE316" s="78">
        <v>246</v>
      </c>
      <c r="AF316" s="75">
        <v>-2591</v>
      </c>
      <c r="AG316" s="156"/>
      <c r="AH316" s="156"/>
      <c r="AI316" s="75">
        <f>AB316+AD316+AE316+AF316+AG316+AH316</f>
        <v>65761</v>
      </c>
      <c r="AJ316" s="75">
        <f>AC316+AH316</f>
        <v>0</v>
      </c>
      <c r="AK316" s="156"/>
      <c r="AL316" s="75">
        <f>AI316+AK316</f>
        <v>65761</v>
      </c>
      <c r="AM316" s="75">
        <f>AJ316</f>
        <v>0</v>
      </c>
      <c r="AN316" s="156"/>
      <c r="AO316" s="78">
        <v>118</v>
      </c>
      <c r="AP316" s="156"/>
      <c r="AQ316" s="156"/>
      <c r="AR316" s="75">
        <f>AL316+AN316+AO316+AP316+AQ316</f>
        <v>65879</v>
      </c>
      <c r="AS316" s="75">
        <f>AM316+AQ316</f>
        <v>0</v>
      </c>
      <c r="AT316" s="159"/>
      <c r="AU316" s="159"/>
      <c r="AV316" s="159"/>
      <c r="AW316" s="76">
        <f>AV316+AU316+AT316+AR316</f>
        <v>65879</v>
      </c>
      <c r="AX316" s="76">
        <f>AV316+AS316</f>
        <v>0</v>
      </c>
      <c r="AY316" s="75">
        <v>-4961</v>
      </c>
      <c r="AZ316" s="157"/>
      <c r="BA316" s="157"/>
      <c r="BB316" s="157"/>
      <c r="BC316" s="157"/>
      <c r="BD316" s="75">
        <f>AW316+AY316+AZ316+BA316+BB316+BC316</f>
        <v>60918</v>
      </c>
      <c r="BE316" s="75">
        <f>AX316+BC316</f>
        <v>0</v>
      </c>
      <c r="BF316" s="156"/>
      <c r="BG316" s="156"/>
      <c r="BH316" s="156"/>
      <c r="BI316" s="75">
        <f>BD316+BF316+BG316+BH316</f>
        <v>60918</v>
      </c>
      <c r="BJ316" s="75">
        <f>BE316+BH316</f>
        <v>0</v>
      </c>
      <c r="BK316" s="78">
        <v>81</v>
      </c>
      <c r="BL316" s="158"/>
      <c r="BM316" s="158"/>
      <c r="BN316" s="158"/>
      <c r="BO316" s="75">
        <f>BI316+BK316+BL316+BM316+BN316</f>
        <v>60999</v>
      </c>
      <c r="BP316" s="75">
        <f>BJ316+BN316</f>
        <v>0</v>
      </c>
      <c r="BQ316" s="78">
        <v>-51</v>
      </c>
      <c r="BR316" s="78"/>
      <c r="BS316" s="156"/>
      <c r="BT316" s="156"/>
      <c r="BU316" s="75">
        <f>BO316+BQ316+BS316+BT316</f>
        <v>60948</v>
      </c>
      <c r="BV316" s="75">
        <f>BP316+BT316</f>
        <v>0</v>
      </c>
      <c r="BW316" s="75">
        <v>60292</v>
      </c>
      <c r="BX316" s="75">
        <f>BR316+BV316</f>
        <v>0</v>
      </c>
      <c r="BY316" s="77">
        <f t="shared" si="349"/>
        <v>98.92367263897093</v>
      </c>
      <c r="BZ316" s="72"/>
    </row>
    <row r="317" spans="1:78" s="10" customFormat="1" ht="45.75" customHeight="1" hidden="1">
      <c r="A317" s="88" t="s">
        <v>90</v>
      </c>
      <c r="B317" s="89" t="s">
        <v>155</v>
      </c>
      <c r="C317" s="89" t="s">
        <v>127</v>
      </c>
      <c r="D317" s="90" t="s">
        <v>91</v>
      </c>
      <c r="E317" s="89"/>
      <c r="F317" s="91">
        <f>F318</f>
        <v>68025</v>
      </c>
      <c r="G317" s="91">
        <f>G318</f>
        <v>24445</v>
      </c>
      <c r="H317" s="91">
        <f>H318</f>
        <v>92470</v>
      </c>
      <c r="I317" s="91">
        <f aca="true" t="shared" si="404" ref="I317:BW317">I318</f>
        <v>0</v>
      </c>
      <c r="J317" s="91">
        <f t="shared" si="404"/>
        <v>0</v>
      </c>
      <c r="K317" s="91">
        <f t="shared" si="404"/>
        <v>0</v>
      </c>
      <c r="L317" s="91">
        <f t="shared" si="404"/>
        <v>0</v>
      </c>
      <c r="M317" s="91">
        <f t="shared" si="404"/>
        <v>92470</v>
      </c>
      <c r="N317" s="91">
        <f t="shared" si="404"/>
        <v>0</v>
      </c>
      <c r="O317" s="91">
        <f t="shared" si="404"/>
        <v>0</v>
      </c>
      <c r="P317" s="91">
        <f t="shared" si="404"/>
        <v>0</v>
      </c>
      <c r="Q317" s="91">
        <f t="shared" si="404"/>
        <v>0</v>
      </c>
      <c r="R317" s="91">
        <f t="shared" si="404"/>
        <v>0</v>
      </c>
      <c r="S317" s="91">
        <f t="shared" si="404"/>
        <v>92470</v>
      </c>
      <c r="T317" s="91">
        <f t="shared" si="404"/>
        <v>0</v>
      </c>
      <c r="U317" s="91">
        <f t="shared" si="404"/>
        <v>0</v>
      </c>
      <c r="V317" s="91">
        <f t="shared" si="404"/>
        <v>0</v>
      </c>
      <c r="W317" s="91">
        <f t="shared" si="404"/>
        <v>0</v>
      </c>
      <c r="X317" s="91">
        <f t="shared" si="404"/>
        <v>0</v>
      </c>
      <c r="Y317" s="91">
        <f t="shared" si="404"/>
        <v>0</v>
      </c>
      <c r="Z317" s="91">
        <f t="shared" si="404"/>
        <v>0</v>
      </c>
      <c r="AA317" s="91">
        <f t="shared" si="404"/>
        <v>0</v>
      </c>
      <c r="AB317" s="91">
        <f t="shared" si="404"/>
        <v>92470</v>
      </c>
      <c r="AC317" s="91">
        <f t="shared" si="404"/>
        <v>0</v>
      </c>
      <c r="AD317" s="91">
        <f t="shared" si="404"/>
        <v>8</v>
      </c>
      <c r="AE317" s="91">
        <f t="shared" si="404"/>
        <v>334</v>
      </c>
      <c r="AF317" s="91">
        <f t="shared" si="404"/>
        <v>-14541</v>
      </c>
      <c r="AG317" s="91">
        <f t="shared" si="404"/>
        <v>0</v>
      </c>
      <c r="AH317" s="91">
        <f t="shared" si="404"/>
        <v>0</v>
      </c>
      <c r="AI317" s="91">
        <f t="shared" si="404"/>
        <v>78271</v>
      </c>
      <c r="AJ317" s="91">
        <f t="shared" si="404"/>
        <v>0</v>
      </c>
      <c r="AK317" s="91">
        <f t="shared" si="404"/>
        <v>0</v>
      </c>
      <c r="AL317" s="91">
        <f t="shared" si="404"/>
        <v>78271</v>
      </c>
      <c r="AM317" s="91">
        <f t="shared" si="404"/>
        <v>0</v>
      </c>
      <c r="AN317" s="91">
        <f t="shared" si="404"/>
        <v>0</v>
      </c>
      <c r="AO317" s="91">
        <f t="shared" si="404"/>
        <v>329</v>
      </c>
      <c r="AP317" s="91">
        <f t="shared" si="404"/>
        <v>6</v>
      </c>
      <c r="AQ317" s="91">
        <f t="shared" si="404"/>
        <v>0</v>
      </c>
      <c r="AR317" s="91">
        <f t="shared" si="404"/>
        <v>78606</v>
      </c>
      <c r="AS317" s="91">
        <f t="shared" si="404"/>
        <v>0</v>
      </c>
      <c r="AT317" s="92">
        <f t="shared" si="404"/>
        <v>0</v>
      </c>
      <c r="AU317" s="92">
        <f t="shared" si="404"/>
        <v>0</v>
      </c>
      <c r="AV317" s="92">
        <f t="shared" si="404"/>
        <v>0</v>
      </c>
      <c r="AW317" s="92">
        <f t="shared" si="404"/>
        <v>78606</v>
      </c>
      <c r="AX317" s="92">
        <f t="shared" si="404"/>
        <v>0</v>
      </c>
      <c r="AY317" s="91">
        <f t="shared" si="404"/>
        <v>-5287</v>
      </c>
      <c r="AZ317" s="91">
        <f t="shared" si="404"/>
        <v>0</v>
      </c>
      <c r="BA317" s="91">
        <f t="shared" si="404"/>
        <v>0</v>
      </c>
      <c r="BB317" s="91">
        <f t="shared" si="404"/>
        <v>0</v>
      </c>
      <c r="BC317" s="91">
        <f t="shared" si="404"/>
        <v>0</v>
      </c>
      <c r="BD317" s="91">
        <f t="shared" si="404"/>
        <v>73319</v>
      </c>
      <c r="BE317" s="91">
        <f t="shared" si="404"/>
        <v>0</v>
      </c>
      <c r="BF317" s="91">
        <f t="shared" si="404"/>
        <v>0</v>
      </c>
      <c r="BG317" s="91">
        <f t="shared" si="404"/>
        <v>0</v>
      </c>
      <c r="BH317" s="91">
        <f t="shared" si="404"/>
        <v>0</v>
      </c>
      <c r="BI317" s="91">
        <f t="shared" si="404"/>
        <v>73319</v>
      </c>
      <c r="BJ317" s="91">
        <f t="shared" si="404"/>
        <v>0</v>
      </c>
      <c r="BK317" s="91">
        <f t="shared" si="404"/>
        <v>33</v>
      </c>
      <c r="BL317" s="91">
        <f t="shared" si="404"/>
        <v>0</v>
      </c>
      <c r="BM317" s="91">
        <f t="shared" si="404"/>
        <v>0</v>
      </c>
      <c r="BN317" s="91">
        <f t="shared" si="404"/>
        <v>0</v>
      </c>
      <c r="BO317" s="91">
        <f t="shared" si="404"/>
        <v>73352</v>
      </c>
      <c r="BP317" s="91">
        <f t="shared" si="404"/>
        <v>0</v>
      </c>
      <c r="BQ317" s="91">
        <f t="shared" si="404"/>
        <v>-2</v>
      </c>
      <c r="BR317" s="91"/>
      <c r="BS317" s="91">
        <f t="shared" si="404"/>
        <v>0</v>
      </c>
      <c r="BT317" s="91">
        <f t="shared" si="404"/>
        <v>0</v>
      </c>
      <c r="BU317" s="91">
        <f t="shared" si="404"/>
        <v>73350</v>
      </c>
      <c r="BV317" s="91">
        <f>BV318</f>
        <v>0</v>
      </c>
      <c r="BW317" s="91">
        <f t="shared" si="404"/>
        <v>72614</v>
      </c>
      <c r="BX317" s="91">
        <f>BX318</f>
        <v>0</v>
      </c>
      <c r="BY317" s="77">
        <f t="shared" si="349"/>
        <v>98.99659168370825</v>
      </c>
      <c r="BZ317" s="72"/>
    </row>
    <row r="318" spans="1:78" s="10" customFormat="1" ht="40.5" customHeight="1" hidden="1">
      <c r="A318" s="88" t="s">
        <v>129</v>
      </c>
      <c r="B318" s="89" t="s">
        <v>155</v>
      </c>
      <c r="C318" s="89" t="s">
        <v>127</v>
      </c>
      <c r="D318" s="90" t="s">
        <v>91</v>
      </c>
      <c r="E318" s="89" t="s">
        <v>130</v>
      </c>
      <c r="F318" s="99">
        <v>68025</v>
      </c>
      <c r="G318" s="75">
        <f>H318-F318</f>
        <v>24445</v>
      </c>
      <c r="H318" s="100">
        <v>92470</v>
      </c>
      <c r="I318" s="165"/>
      <c r="J318" s="165"/>
      <c r="K318" s="165"/>
      <c r="L318" s="165"/>
      <c r="M318" s="75">
        <f>H318+J318+K318+L318</f>
        <v>92470</v>
      </c>
      <c r="N318" s="78">
        <f>I318+L318</f>
        <v>0</v>
      </c>
      <c r="O318" s="165"/>
      <c r="P318" s="100"/>
      <c r="Q318" s="78"/>
      <c r="R318" s="156"/>
      <c r="S318" s="75">
        <f>M318+O318+P318+Q318+R318</f>
        <v>92470</v>
      </c>
      <c r="T318" s="75">
        <f>N318+R318</f>
        <v>0</v>
      </c>
      <c r="U318" s="78"/>
      <c r="V318" s="78"/>
      <c r="W318" s="156"/>
      <c r="X318" s="156"/>
      <c r="Y318" s="156"/>
      <c r="Z318" s="156"/>
      <c r="AA318" s="156"/>
      <c r="AB318" s="75">
        <f>S318+U318+V318+W318+X318+Y318+Z318+AA318</f>
        <v>92470</v>
      </c>
      <c r="AC318" s="75">
        <f>T318+Z318+AA318</f>
        <v>0</v>
      </c>
      <c r="AD318" s="78">
        <v>8</v>
      </c>
      <c r="AE318" s="78">
        <v>334</v>
      </c>
      <c r="AF318" s="75">
        <v>-14541</v>
      </c>
      <c r="AG318" s="156"/>
      <c r="AH318" s="156"/>
      <c r="AI318" s="75">
        <f>AB318+AD318+AE318+AF318+AG318+AH318</f>
        <v>78271</v>
      </c>
      <c r="AJ318" s="75">
        <f>AC318+AH318</f>
        <v>0</v>
      </c>
      <c r="AK318" s="156"/>
      <c r="AL318" s="75">
        <f>AI318+AK318</f>
        <v>78271</v>
      </c>
      <c r="AM318" s="75">
        <f>AJ318</f>
        <v>0</v>
      </c>
      <c r="AN318" s="156"/>
      <c r="AO318" s="78">
        <v>329</v>
      </c>
      <c r="AP318" s="78">
        <v>6</v>
      </c>
      <c r="AQ318" s="156"/>
      <c r="AR318" s="75">
        <f>AL318+AN318+AO318+AP318+AQ318</f>
        <v>78606</v>
      </c>
      <c r="AS318" s="75">
        <f>AM318+AQ318</f>
        <v>0</v>
      </c>
      <c r="AT318" s="159"/>
      <c r="AU318" s="159"/>
      <c r="AV318" s="159"/>
      <c r="AW318" s="76">
        <f>AV318+AU318+AT318+AR318</f>
        <v>78606</v>
      </c>
      <c r="AX318" s="76">
        <f>AV318+AS318</f>
        <v>0</v>
      </c>
      <c r="AY318" s="75">
        <v>-5287</v>
      </c>
      <c r="AZ318" s="157"/>
      <c r="BA318" s="157"/>
      <c r="BB318" s="157"/>
      <c r="BC318" s="157"/>
      <c r="BD318" s="75">
        <f>AW318+AY318+AZ318+BA318+BB318+BC318</f>
        <v>73319</v>
      </c>
      <c r="BE318" s="75">
        <f>AX318+BC318</f>
        <v>0</v>
      </c>
      <c r="BF318" s="156"/>
      <c r="BG318" s="156"/>
      <c r="BH318" s="156"/>
      <c r="BI318" s="75">
        <f>BD318+BF318+BG318+BH318</f>
        <v>73319</v>
      </c>
      <c r="BJ318" s="75">
        <f>BE318+BH318</f>
        <v>0</v>
      </c>
      <c r="BK318" s="78">
        <v>33</v>
      </c>
      <c r="BL318" s="158"/>
      <c r="BM318" s="158"/>
      <c r="BN318" s="158"/>
      <c r="BO318" s="75">
        <f>BI318+BK318+BL318+BM318+BN318</f>
        <v>73352</v>
      </c>
      <c r="BP318" s="75">
        <f>BJ318+BN318</f>
        <v>0</v>
      </c>
      <c r="BQ318" s="78">
        <v>-2</v>
      </c>
      <c r="BR318" s="78"/>
      <c r="BS318" s="156"/>
      <c r="BT318" s="156"/>
      <c r="BU318" s="75">
        <f>BO318+BQ318+BS318+BT318</f>
        <v>73350</v>
      </c>
      <c r="BV318" s="75">
        <f>BP318+BT318</f>
        <v>0</v>
      </c>
      <c r="BW318" s="75">
        <v>72614</v>
      </c>
      <c r="BX318" s="75">
        <f>BR318+BV318</f>
        <v>0</v>
      </c>
      <c r="BY318" s="77">
        <f t="shared" si="349"/>
        <v>98.99659168370825</v>
      </c>
      <c r="BZ318" s="72"/>
    </row>
    <row r="319" spans="1:78" s="10" customFormat="1" ht="56.25" customHeight="1" hidden="1">
      <c r="A319" s="88" t="s">
        <v>92</v>
      </c>
      <c r="B319" s="89" t="s">
        <v>155</v>
      </c>
      <c r="C319" s="89" t="s">
        <v>127</v>
      </c>
      <c r="D319" s="90" t="s">
        <v>93</v>
      </c>
      <c r="E319" s="89"/>
      <c r="F319" s="91">
        <f>F320+F321+F323+F325</f>
        <v>21917</v>
      </c>
      <c r="G319" s="91">
        <f>G320+G321+G323+G325</f>
        <v>-6147</v>
      </c>
      <c r="H319" s="91">
        <f>H320+H321+H323+H325</f>
        <v>15770</v>
      </c>
      <c r="I319" s="91">
        <f aca="true" t="shared" si="405" ref="I319:AM319">I320+I321+I323+I325</f>
        <v>0</v>
      </c>
      <c r="J319" s="91">
        <f t="shared" si="405"/>
        <v>0</v>
      </c>
      <c r="K319" s="91">
        <f t="shared" si="405"/>
        <v>0</v>
      </c>
      <c r="L319" s="91">
        <f t="shared" si="405"/>
        <v>0</v>
      </c>
      <c r="M319" s="91">
        <f t="shared" si="405"/>
        <v>15770</v>
      </c>
      <c r="N319" s="91">
        <f t="shared" si="405"/>
        <v>0</v>
      </c>
      <c r="O319" s="91">
        <f t="shared" si="405"/>
        <v>0</v>
      </c>
      <c r="P319" s="91"/>
      <c r="Q319" s="91">
        <f t="shared" si="405"/>
        <v>0</v>
      </c>
      <c r="R319" s="91">
        <f t="shared" si="405"/>
        <v>0</v>
      </c>
      <c r="S319" s="91">
        <f t="shared" si="405"/>
        <v>15770</v>
      </c>
      <c r="T319" s="91">
        <f t="shared" si="405"/>
        <v>0</v>
      </c>
      <c r="U319" s="91">
        <f t="shared" si="405"/>
        <v>0</v>
      </c>
      <c r="V319" s="91">
        <f t="shared" si="405"/>
        <v>0</v>
      </c>
      <c r="W319" s="91">
        <f t="shared" si="405"/>
        <v>0</v>
      </c>
      <c r="X319" s="91">
        <f t="shared" si="405"/>
        <v>0</v>
      </c>
      <c r="Y319" s="91">
        <f t="shared" si="405"/>
        <v>0</v>
      </c>
      <c r="Z319" s="91">
        <f t="shared" si="405"/>
        <v>0</v>
      </c>
      <c r="AA319" s="91">
        <f t="shared" si="405"/>
        <v>0</v>
      </c>
      <c r="AB319" s="91">
        <f t="shared" si="405"/>
        <v>15770</v>
      </c>
      <c r="AC319" s="91">
        <f t="shared" si="405"/>
        <v>0</v>
      </c>
      <c r="AD319" s="91">
        <f t="shared" si="405"/>
        <v>0</v>
      </c>
      <c r="AE319" s="91">
        <f t="shared" si="405"/>
        <v>0</v>
      </c>
      <c r="AF319" s="91">
        <f t="shared" si="405"/>
        <v>-7970</v>
      </c>
      <c r="AG319" s="91">
        <f t="shared" si="405"/>
        <v>0</v>
      </c>
      <c r="AH319" s="91">
        <f t="shared" si="405"/>
        <v>0</v>
      </c>
      <c r="AI319" s="91">
        <f t="shared" si="405"/>
        <v>7800</v>
      </c>
      <c r="AJ319" s="91">
        <f t="shared" si="405"/>
        <v>0</v>
      </c>
      <c r="AK319" s="91">
        <f t="shared" si="405"/>
        <v>0</v>
      </c>
      <c r="AL319" s="91">
        <f t="shared" si="405"/>
        <v>7800</v>
      </c>
      <c r="AM319" s="91">
        <f t="shared" si="405"/>
        <v>0</v>
      </c>
      <c r="AN319" s="91">
        <f aca="true" t="shared" si="406" ref="AN319:AS319">AN320+AN321+AN323+AN325+AN327</f>
        <v>0</v>
      </c>
      <c r="AO319" s="91">
        <f t="shared" si="406"/>
        <v>1</v>
      </c>
      <c r="AP319" s="91">
        <f t="shared" si="406"/>
        <v>0</v>
      </c>
      <c r="AQ319" s="91">
        <f t="shared" si="406"/>
        <v>2081</v>
      </c>
      <c r="AR319" s="91">
        <f t="shared" si="406"/>
        <v>9882</v>
      </c>
      <c r="AS319" s="91">
        <f t="shared" si="406"/>
        <v>2081</v>
      </c>
      <c r="AT319" s="92">
        <f aca="true" t="shared" si="407" ref="AT319:BV319">AT320+AT321+AT323+AT325+AT327</f>
        <v>0</v>
      </c>
      <c r="AU319" s="92">
        <f t="shared" si="407"/>
        <v>0</v>
      </c>
      <c r="AV319" s="92">
        <f t="shared" si="407"/>
        <v>0</v>
      </c>
      <c r="AW319" s="92">
        <f t="shared" si="407"/>
        <v>9882</v>
      </c>
      <c r="AX319" s="92">
        <f t="shared" si="407"/>
        <v>2081</v>
      </c>
      <c r="AY319" s="91">
        <f t="shared" si="407"/>
        <v>-2949</v>
      </c>
      <c r="AZ319" s="91">
        <f t="shared" si="407"/>
        <v>300</v>
      </c>
      <c r="BA319" s="91">
        <f t="shared" si="407"/>
        <v>0</v>
      </c>
      <c r="BB319" s="91">
        <f t="shared" si="407"/>
        <v>0</v>
      </c>
      <c r="BC319" s="91">
        <f t="shared" si="407"/>
        <v>0</v>
      </c>
      <c r="BD319" s="91">
        <f t="shared" si="407"/>
        <v>7233</v>
      </c>
      <c r="BE319" s="91">
        <f t="shared" si="407"/>
        <v>2081</v>
      </c>
      <c r="BF319" s="91">
        <f t="shared" si="407"/>
        <v>0</v>
      </c>
      <c r="BG319" s="91">
        <f t="shared" si="407"/>
        <v>0</v>
      </c>
      <c r="BH319" s="91">
        <f t="shared" si="407"/>
        <v>0</v>
      </c>
      <c r="BI319" s="91">
        <f t="shared" si="407"/>
        <v>7233</v>
      </c>
      <c r="BJ319" s="91">
        <f>BJ320+BJ321+BJ323+BJ325+BJ327</f>
        <v>2081</v>
      </c>
      <c r="BK319" s="91">
        <f>BK320+BK321+BK323+BK325+BK327</f>
        <v>0</v>
      </c>
      <c r="BL319" s="91">
        <f t="shared" si="407"/>
        <v>0</v>
      </c>
      <c r="BM319" s="91">
        <f t="shared" si="407"/>
        <v>47</v>
      </c>
      <c r="BN319" s="91">
        <f t="shared" si="407"/>
        <v>0</v>
      </c>
      <c r="BO319" s="91">
        <f t="shared" si="407"/>
        <v>7280</v>
      </c>
      <c r="BP319" s="91">
        <f t="shared" si="407"/>
        <v>2081</v>
      </c>
      <c r="BQ319" s="91">
        <f t="shared" si="407"/>
        <v>0</v>
      </c>
      <c r="BR319" s="91"/>
      <c r="BS319" s="91">
        <f t="shared" si="407"/>
        <v>270</v>
      </c>
      <c r="BT319" s="91">
        <f t="shared" si="407"/>
        <v>0</v>
      </c>
      <c r="BU319" s="91">
        <f t="shared" si="407"/>
        <v>7550</v>
      </c>
      <c r="BV319" s="91">
        <f t="shared" si="407"/>
        <v>2081</v>
      </c>
      <c r="BW319" s="91">
        <f>BW320+BW321+BW323+BW325+BW327</f>
        <v>7550</v>
      </c>
      <c r="BX319" s="91">
        <f>BX320+BX321+BX323+BX325+BX327</f>
        <v>2081</v>
      </c>
      <c r="BY319" s="77">
        <f t="shared" si="349"/>
        <v>100</v>
      </c>
      <c r="BZ319" s="77">
        <f t="shared" si="349"/>
        <v>100</v>
      </c>
    </row>
    <row r="320" spans="1:78" s="10" customFormat="1" ht="74.25" customHeight="1" hidden="1">
      <c r="A320" s="88" t="s">
        <v>138</v>
      </c>
      <c r="B320" s="89" t="s">
        <v>155</v>
      </c>
      <c r="C320" s="89" t="s">
        <v>127</v>
      </c>
      <c r="D320" s="90" t="s">
        <v>93</v>
      </c>
      <c r="E320" s="89" t="s">
        <v>139</v>
      </c>
      <c r="F320" s="99">
        <v>19751</v>
      </c>
      <c r="G320" s="75">
        <f>H320-F320</f>
        <v>-4293</v>
      </c>
      <c r="H320" s="100">
        <v>15458</v>
      </c>
      <c r="I320" s="165"/>
      <c r="J320" s="165"/>
      <c r="K320" s="165"/>
      <c r="L320" s="165"/>
      <c r="M320" s="75">
        <f>H320+J320+K320+L320</f>
        <v>15458</v>
      </c>
      <c r="N320" s="78">
        <f>I320+L320</f>
        <v>0</v>
      </c>
      <c r="O320" s="165"/>
      <c r="P320" s="165"/>
      <c r="Q320" s="156"/>
      <c r="R320" s="156"/>
      <c r="S320" s="75">
        <f>M320+O320+P320+Q320+R320</f>
        <v>15458</v>
      </c>
      <c r="T320" s="75">
        <f>N320+R320</f>
        <v>0</v>
      </c>
      <c r="U320" s="156"/>
      <c r="V320" s="156"/>
      <c r="W320" s="156"/>
      <c r="X320" s="156"/>
      <c r="Y320" s="156"/>
      <c r="Z320" s="156"/>
      <c r="AA320" s="156"/>
      <c r="AB320" s="75">
        <f>S320+U320+V320+W320+X320+Y320+Z320+AA320</f>
        <v>15458</v>
      </c>
      <c r="AC320" s="75">
        <f>T320+Z320+AA320</f>
        <v>0</v>
      </c>
      <c r="AD320" s="156"/>
      <c r="AE320" s="156"/>
      <c r="AF320" s="75">
        <v>-7970</v>
      </c>
      <c r="AG320" s="156"/>
      <c r="AH320" s="156"/>
      <c r="AI320" s="75">
        <f>AB320+AD320+AE320+AF320+AG320+AH320</f>
        <v>7488</v>
      </c>
      <c r="AJ320" s="75">
        <f>AC320+AH320</f>
        <v>0</v>
      </c>
      <c r="AK320" s="156"/>
      <c r="AL320" s="75">
        <f>AI320+AK320</f>
        <v>7488</v>
      </c>
      <c r="AM320" s="75">
        <f>AJ320</f>
        <v>0</v>
      </c>
      <c r="AN320" s="156"/>
      <c r="AO320" s="78">
        <v>1</v>
      </c>
      <c r="AP320" s="156"/>
      <c r="AQ320" s="156"/>
      <c r="AR320" s="75">
        <f>AL320+AN320+AO320+AP320+AQ320</f>
        <v>7489</v>
      </c>
      <c r="AS320" s="75">
        <f>AM320+AQ320</f>
        <v>0</v>
      </c>
      <c r="AT320" s="159"/>
      <c r="AU320" s="159"/>
      <c r="AV320" s="159"/>
      <c r="AW320" s="76">
        <f>AV320+AU320+AT320+AR320</f>
        <v>7489</v>
      </c>
      <c r="AX320" s="76">
        <f>AV320+AS320</f>
        <v>0</v>
      </c>
      <c r="AY320" s="75">
        <v>-2949</v>
      </c>
      <c r="AZ320" s="157"/>
      <c r="BA320" s="157"/>
      <c r="BB320" s="157"/>
      <c r="BC320" s="157"/>
      <c r="BD320" s="75">
        <f>AW320+AY320+AZ320+BA320+BB320+BC320</f>
        <v>4540</v>
      </c>
      <c r="BE320" s="75">
        <f>AX320+BC320</f>
        <v>0</v>
      </c>
      <c r="BF320" s="156"/>
      <c r="BG320" s="156"/>
      <c r="BH320" s="156"/>
      <c r="BI320" s="75">
        <f>BD320+BF320+BG320+BH320</f>
        <v>4540</v>
      </c>
      <c r="BJ320" s="75">
        <f>BE320+BH320</f>
        <v>0</v>
      </c>
      <c r="BK320" s="158"/>
      <c r="BL320" s="158"/>
      <c r="BM320" s="78">
        <v>47</v>
      </c>
      <c r="BN320" s="158"/>
      <c r="BO320" s="75">
        <f>BI320+BK320+BL320+BM320+BN320</f>
        <v>4587</v>
      </c>
      <c r="BP320" s="75">
        <f>BJ320+BN320</f>
        <v>0</v>
      </c>
      <c r="BQ320" s="156"/>
      <c r="BR320" s="156"/>
      <c r="BS320" s="78">
        <v>270</v>
      </c>
      <c r="BT320" s="156"/>
      <c r="BU320" s="75">
        <f>BO320+BQ320+BS320+BT320</f>
        <v>4857</v>
      </c>
      <c r="BV320" s="75">
        <f>BP320+BT320</f>
        <v>0</v>
      </c>
      <c r="BW320" s="75">
        <v>4857</v>
      </c>
      <c r="BX320" s="75">
        <f>BR320+BV320</f>
        <v>0</v>
      </c>
      <c r="BY320" s="77">
        <f t="shared" si="349"/>
        <v>100</v>
      </c>
      <c r="BZ320" s="72"/>
    </row>
    <row r="321" spans="1:78" s="10" customFormat="1" ht="117.75" customHeight="1" hidden="1">
      <c r="A321" s="88" t="s">
        <v>347</v>
      </c>
      <c r="B321" s="89" t="s">
        <v>155</v>
      </c>
      <c r="C321" s="89" t="s">
        <v>127</v>
      </c>
      <c r="D321" s="90" t="s">
        <v>184</v>
      </c>
      <c r="E321" s="89"/>
      <c r="F321" s="91">
        <f>F322</f>
        <v>368</v>
      </c>
      <c r="G321" s="91">
        <f>G322</f>
        <v>-368</v>
      </c>
      <c r="H321" s="91">
        <f aca="true" t="shared" si="408" ref="H321:N321">H322</f>
        <v>0</v>
      </c>
      <c r="I321" s="91">
        <f t="shared" si="408"/>
        <v>0</v>
      </c>
      <c r="J321" s="91">
        <f t="shared" si="408"/>
        <v>0</v>
      </c>
      <c r="K321" s="91">
        <f t="shared" si="408"/>
        <v>0</v>
      </c>
      <c r="L321" s="91">
        <f t="shared" si="408"/>
        <v>0</v>
      </c>
      <c r="M321" s="91">
        <f t="shared" si="408"/>
        <v>0</v>
      </c>
      <c r="N321" s="91">
        <f t="shared" si="408"/>
        <v>0</v>
      </c>
      <c r="O321" s="165"/>
      <c r="P321" s="165"/>
      <c r="Q321" s="156"/>
      <c r="R321" s="156"/>
      <c r="S321" s="157"/>
      <c r="T321" s="157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7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9"/>
      <c r="AU321" s="159"/>
      <c r="AV321" s="159"/>
      <c r="AW321" s="159"/>
      <c r="AX321" s="159"/>
      <c r="AY321" s="157">
        <f aca="true" t="shared" si="409" ref="AY321:BX321">AY322</f>
        <v>0</v>
      </c>
      <c r="AZ321" s="75">
        <f t="shared" si="409"/>
        <v>300</v>
      </c>
      <c r="BA321" s="75">
        <f t="shared" si="409"/>
        <v>0</v>
      </c>
      <c r="BB321" s="75">
        <f t="shared" si="409"/>
        <v>0</v>
      </c>
      <c r="BC321" s="75">
        <f t="shared" si="409"/>
        <v>0</v>
      </c>
      <c r="BD321" s="75">
        <f t="shared" si="409"/>
        <v>300</v>
      </c>
      <c r="BE321" s="75">
        <f t="shared" si="409"/>
        <v>0</v>
      </c>
      <c r="BF321" s="75">
        <f t="shared" si="409"/>
        <v>0</v>
      </c>
      <c r="BG321" s="75">
        <f t="shared" si="409"/>
        <v>0</v>
      </c>
      <c r="BH321" s="75">
        <f t="shared" si="409"/>
        <v>0</v>
      </c>
      <c r="BI321" s="75">
        <f t="shared" si="409"/>
        <v>300</v>
      </c>
      <c r="BJ321" s="75">
        <f t="shared" si="409"/>
        <v>0</v>
      </c>
      <c r="BK321" s="75">
        <f t="shared" si="409"/>
        <v>0</v>
      </c>
      <c r="BL321" s="75">
        <f t="shared" si="409"/>
        <v>0</v>
      </c>
      <c r="BM321" s="75">
        <f t="shared" si="409"/>
        <v>0</v>
      </c>
      <c r="BN321" s="75">
        <f t="shared" si="409"/>
        <v>0</v>
      </c>
      <c r="BO321" s="75">
        <f t="shared" si="409"/>
        <v>300</v>
      </c>
      <c r="BP321" s="75">
        <f t="shared" si="409"/>
        <v>0</v>
      </c>
      <c r="BQ321" s="75">
        <f t="shared" si="409"/>
        <v>0</v>
      </c>
      <c r="BR321" s="75"/>
      <c r="BS321" s="75">
        <f t="shared" si="409"/>
        <v>0</v>
      </c>
      <c r="BT321" s="75">
        <f t="shared" si="409"/>
        <v>0</v>
      </c>
      <c r="BU321" s="75">
        <f t="shared" si="409"/>
        <v>300</v>
      </c>
      <c r="BV321" s="75">
        <f t="shared" si="409"/>
        <v>0</v>
      </c>
      <c r="BW321" s="75">
        <f t="shared" si="409"/>
        <v>300</v>
      </c>
      <c r="BX321" s="75">
        <f t="shared" si="409"/>
        <v>0</v>
      </c>
      <c r="BY321" s="77">
        <f t="shared" si="349"/>
        <v>100</v>
      </c>
      <c r="BZ321" s="77"/>
    </row>
    <row r="322" spans="1:78" s="10" customFormat="1" ht="92.25" customHeight="1" hidden="1">
      <c r="A322" s="88" t="s">
        <v>359</v>
      </c>
      <c r="B322" s="89" t="s">
        <v>155</v>
      </c>
      <c r="C322" s="89" t="s">
        <v>127</v>
      </c>
      <c r="D322" s="90" t="s">
        <v>184</v>
      </c>
      <c r="E322" s="89" t="s">
        <v>145</v>
      </c>
      <c r="F322" s="99">
        <v>368</v>
      </c>
      <c r="G322" s="75">
        <f>H322-F322</f>
        <v>-368</v>
      </c>
      <c r="H322" s="165"/>
      <c r="I322" s="165"/>
      <c r="J322" s="165"/>
      <c r="K322" s="165"/>
      <c r="L322" s="165"/>
      <c r="M322" s="75">
        <f>H322+J322+K322+L322</f>
        <v>0</v>
      </c>
      <c r="N322" s="78">
        <f>I322+L322</f>
        <v>0</v>
      </c>
      <c r="O322" s="165"/>
      <c r="P322" s="165"/>
      <c r="Q322" s="156"/>
      <c r="R322" s="156"/>
      <c r="S322" s="157"/>
      <c r="T322" s="157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7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9"/>
      <c r="AU322" s="159"/>
      <c r="AV322" s="159"/>
      <c r="AW322" s="159"/>
      <c r="AX322" s="159"/>
      <c r="AY322" s="157"/>
      <c r="AZ322" s="75">
        <v>300</v>
      </c>
      <c r="BA322" s="75"/>
      <c r="BB322" s="75"/>
      <c r="BC322" s="75"/>
      <c r="BD322" s="75">
        <f>AW322+AY322+AZ322+BA322+BB322+BC322</f>
        <v>300</v>
      </c>
      <c r="BE322" s="75">
        <f>AX322+BC322</f>
        <v>0</v>
      </c>
      <c r="BF322" s="156"/>
      <c r="BG322" s="156"/>
      <c r="BH322" s="156"/>
      <c r="BI322" s="75">
        <f>BD322+BF322+BG322+BH322</f>
        <v>300</v>
      </c>
      <c r="BJ322" s="75">
        <f>BE322+BH322</f>
        <v>0</v>
      </c>
      <c r="BK322" s="158"/>
      <c r="BL322" s="158"/>
      <c r="BM322" s="158"/>
      <c r="BN322" s="158"/>
      <c r="BO322" s="75">
        <f>BI322+BK322+BL322+BM322+BN322</f>
        <v>300</v>
      </c>
      <c r="BP322" s="75">
        <f>BJ322+BN322</f>
        <v>0</v>
      </c>
      <c r="BQ322" s="156"/>
      <c r="BR322" s="156"/>
      <c r="BS322" s="156"/>
      <c r="BT322" s="156"/>
      <c r="BU322" s="75">
        <f>BO322+BQ322+BS322+BT322</f>
        <v>300</v>
      </c>
      <c r="BV322" s="75">
        <f>BP322+BT322</f>
        <v>0</v>
      </c>
      <c r="BW322" s="75">
        <v>300</v>
      </c>
      <c r="BX322" s="75">
        <f>BR322+BV322</f>
        <v>0</v>
      </c>
      <c r="BY322" s="77">
        <f t="shared" si="349"/>
        <v>100</v>
      </c>
      <c r="BZ322" s="72"/>
    </row>
    <row r="323" spans="1:78" s="10" customFormat="1" ht="54" customHeight="1" hidden="1">
      <c r="A323" s="88" t="s">
        <v>181</v>
      </c>
      <c r="B323" s="89" t="s">
        <v>155</v>
      </c>
      <c r="C323" s="89" t="s">
        <v>127</v>
      </c>
      <c r="D323" s="90" t="s">
        <v>185</v>
      </c>
      <c r="E323" s="89"/>
      <c r="F323" s="91">
        <f>F324</f>
        <v>1491</v>
      </c>
      <c r="G323" s="91">
        <f>G324</f>
        <v>-1491</v>
      </c>
      <c r="H323" s="91">
        <f aca="true" t="shared" si="410" ref="H323:N323">H324</f>
        <v>0</v>
      </c>
      <c r="I323" s="91">
        <f t="shared" si="410"/>
        <v>0</v>
      </c>
      <c r="J323" s="91">
        <f t="shared" si="410"/>
        <v>0</v>
      </c>
      <c r="K323" s="91">
        <f t="shared" si="410"/>
        <v>0</v>
      </c>
      <c r="L323" s="91">
        <f t="shared" si="410"/>
        <v>0</v>
      </c>
      <c r="M323" s="91">
        <f t="shared" si="410"/>
        <v>0</v>
      </c>
      <c r="N323" s="91">
        <f t="shared" si="410"/>
        <v>0</v>
      </c>
      <c r="O323" s="165"/>
      <c r="P323" s="165"/>
      <c r="Q323" s="156"/>
      <c r="R323" s="156"/>
      <c r="S323" s="157"/>
      <c r="T323" s="157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7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9"/>
      <c r="AU323" s="159"/>
      <c r="AV323" s="159"/>
      <c r="AW323" s="159"/>
      <c r="AX323" s="159"/>
      <c r="AY323" s="157"/>
      <c r="AZ323" s="157"/>
      <c r="BA323" s="157"/>
      <c r="BB323" s="157"/>
      <c r="BC323" s="157"/>
      <c r="BD323" s="158"/>
      <c r="BE323" s="158"/>
      <c r="BF323" s="156"/>
      <c r="BG323" s="156"/>
      <c r="BH323" s="156"/>
      <c r="BI323" s="156"/>
      <c r="BJ323" s="156"/>
      <c r="BK323" s="158"/>
      <c r="BL323" s="158"/>
      <c r="BM323" s="158"/>
      <c r="BN323" s="158"/>
      <c r="BO323" s="158"/>
      <c r="BP323" s="158"/>
      <c r="BQ323" s="156"/>
      <c r="BR323" s="156"/>
      <c r="BS323" s="156"/>
      <c r="BT323" s="156"/>
      <c r="BU323" s="156"/>
      <c r="BV323" s="156"/>
      <c r="BW323" s="156"/>
      <c r="BX323" s="156"/>
      <c r="BY323" s="77" t="e">
        <f t="shared" si="349"/>
        <v>#DIV/0!</v>
      </c>
      <c r="BZ323" s="72"/>
    </row>
    <row r="324" spans="1:78" s="10" customFormat="1" ht="127.5" customHeight="1" hidden="1">
      <c r="A324" s="88" t="s">
        <v>403</v>
      </c>
      <c r="B324" s="89" t="s">
        <v>155</v>
      </c>
      <c r="C324" s="89" t="s">
        <v>127</v>
      </c>
      <c r="D324" s="90" t="s">
        <v>185</v>
      </c>
      <c r="E324" s="89" t="s">
        <v>145</v>
      </c>
      <c r="F324" s="99">
        <v>1491</v>
      </c>
      <c r="G324" s="75">
        <f>H324-F324</f>
        <v>-1491</v>
      </c>
      <c r="H324" s="165"/>
      <c r="I324" s="165"/>
      <c r="J324" s="165"/>
      <c r="K324" s="165"/>
      <c r="L324" s="165"/>
      <c r="M324" s="75">
        <f>H324+J324+K324+L324</f>
        <v>0</v>
      </c>
      <c r="N324" s="78">
        <f>I324+L324</f>
        <v>0</v>
      </c>
      <c r="O324" s="165"/>
      <c r="P324" s="165"/>
      <c r="Q324" s="156"/>
      <c r="R324" s="156"/>
      <c r="S324" s="157"/>
      <c r="T324" s="157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7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9"/>
      <c r="AU324" s="159"/>
      <c r="AV324" s="159"/>
      <c r="AW324" s="159"/>
      <c r="AX324" s="159"/>
      <c r="AY324" s="157"/>
      <c r="AZ324" s="157"/>
      <c r="BA324" s="157"/>
      <c r="BB324" s="157"/>
      <c r="BC324" s="157"/>
      <c r="BD324" s="158"/>
      <c r="BE324" s="158"/>
      <c r="BF324" s="156"/>
      <c r="BG324" s="156"/>
      <c r="BH324" s="156"/>
      <c r="BI324" s="156"/>
      <c r="BJ324" s="156"/>
      <c r="BK324" s="158"/>
      <c r="BL324" s="158"/>
      <c r="BM324" s="158"/>
      <c r="BN324" s="158"/>
      <c r="BO324" s="158"/>
      <c r="BP324" s="158"/>
      <c r="BQ324" s="156"/>
      <c r="BR324" s="156"/>
      <c r="BS324" s="156"/>
      <c r="BT324" s="156"/>
      <c r="BU324" s="156"/>
      <c r="BV324" s="156"/>
      <c r="BW324" s="156"/>
      <c r="BX324" s="156"/>
      <c r="BY324" s="77" t="e">
        <f t="shared" si="349"/>
        <v>#DIV/0!</v>
      </c>
      <c r="BZ324" s="72"/>
    </row>
    <row r="325" spans="1:78" s="10" customFormat="1" ht="72" customHeight="1" hidden="1">
      <c r="A325" s="88" t="s">
        <v>226</v>
      </c>
      <c r="B325" s="89" t="s">
        <v>155</v>
      </c>
      <c r="C325" s="89" t="s">
        <v>127</v>
      </c>
      <c r="D325" s="90" t="s">
        <v>186</v>
      </c>
      <c r="E325" s="89"/>
      <c r="F325" s="91">
        <f>F326</f>
        <v>307</v>
      </c>
      <c r="G325" s="91">
        <f>G326</f>
        <v>5</v>
      </c>
      <c r="H325" s="91">
        <f>H326</f>
        <v>312</v>
      </c>
      <c r="I325" s="91">
        <f aca="true" t="shared" si="411" ref="I325:BW325">I326</f>
        <v>0</v>
      </c>
      <c r="J325" s="91">
        <f t="shared" si="411"/>
        <v>0</v>
      </c>
      <c r="K325" s="91">
        <f t="shared" si="411"/>
        <v>0</v>
      </c>
      <c r="L325" s="91">
        <f t="shared" si="411"/>
        <v>0</v>
      </c>
      <c r="M325" s="91">
        <f t="shared" si="411"/>
        <v>312</v>
      </c>
      <c r="N325" s="91">
        <f t="shared" si="411"/>
        <v>0</v>
      </c>
      <c r="O325" s="91">
        <f t="shared" si="411"/>
        <v>0</v>
      </c>
      <c r="P325" s="91"/>
      <c r="Q325" s="91">
        <f t="shared" si="411"/>
        <v>0</v>
      </c>
      <c r="R325" s="91">
        <f t="shared" si="411"/>
        <v>0</v>
      </c>
      <c r="S325" s="91">
        <f t="shared" si="411"/>
        <v>312</v>
      </c>
      <c r="T325" s="91">
        <f t="shared" si="411"/>
        <v>0</v>
      </c>
      <c r="U325" s="91">
        <f t="shared" si="411"/>
        <v>0</v>
      </c>
      <c r="V325" s="91">
        <f t="shared" si="411"/>
        <v>0</v>
      </c>
      <c r="W325" s="91">
        <f t="shared" si="411"/>
        <v>0</v>
      </c>
      <c r="X325" s="91">
        <f t="shared" si="411"/>
        <v>0</v>
      </c>
      <c r="Y325" s="91">
        <f t="shared" si="411"/>
        <v>0</v>
      </c>
      <c r="Z325" s="91">
        <f t="shared" si="411"/>
        <v>0</v>
      </c>
      <c r="AA325" s="91">
        <f t="shared" si="411"/>
        <v>0</v>
      </c>
      <c r="AB325" s="91">
        <f t="shared" si="411"/>
        <v>312</v>
      </c>
      <c r="AC325" s="91">
        <f t="shared" si="411"/>
        <v>0</v>
      </c>
      <c r="AD325" s="91">
        <f t="shared" si="411"/>
        <v>0</v>
      </c>
      <c r="AE325" s="91">
        <f t="shared" si="411"/>
        <v>0</v>
      </c>
      <c r="AF325" s="91">
        <f t="shared" si="411"/>
        <v>0</v>
      </c>
      <c r="AG325" s="91">
        <f t="shared" si="411"/>
        <v>0</v>
      </c>
      <c r="AH325" s="91">
        <f t="shared" si="411"/>
        <v>0</v>
      </c>
      <c r="AI325" s="91">
        <f t="shared" si="411"/>
        <v>312</v>
      </c>
      <c r="AJ325" s="91">
        <f t="shared" si="411"/>
        <v>0</v>
      </c>
      <c r="AK325" s="91">
        <f t="shared" si="411"/>
        <v>0</v>
      </c>
      <c r="AL325" s="91">
        <f t="shared" si="411"/>
        <v>312</v>
      </c>
      <c r="AM325" s="91">
        <f t="shared" si="411"/>
        <v>0</v>
      </c>
      <c r="AN325" s="91">
        <f t="shared" si="411"/>
        <v>0</v>
      </c>
      <c r="AO325" s="91">
        <f t="shared" si="411"/>
        <v>0</v>
      </c>
      <c r="AP325" s="91">
        <f t="shared" si="411"/>
        <v>0</v>
      </c>
      <c r="AQ325" s="91">
        <f t="shared" si="411"/>
        <v>0</v>
      </c>
      <c r="AR325" s="91">
        <f t="shared" si="411"/>
        <v>312</v>
      </c>
      <c r="AS325" s="91">
        <f t="shared" si="411"/>
        <v>0</v>
      </c>
      <c r="AT325" s="92">
        <f t="shared" si="411"/>
        <v>0</v>
      </c>
      <c r="AU325" s="92">
        <f t="shared" si="411"/>
        <v>0</v>
      </c>
      <c r="AV325" s="92">
        <f t="shared" si="411"/>
        <v>0</v>
      </c>
      <c r="AW325" s="92">
        <f t="shared" si="411"/>
        <v>312</v>
      </c>
      <c r="AX325" s="92">
        <f t="shared" si="411"/>
        <v>0</v>
      </c>
      <c r="AY325" s="91">
        <f t="shared" si="411"/>
        <v>0</v>
      </c>
      <c r="AZ325" s="91">
        <f t="shared" si="411"/>
        <v>0</v>
      </c>
      <c r="BA325" s="91">
        <f t="shared" si="411"/>
        <v>0</v>
      </c>
      <c r="BB325" s="91">
        <f t="shared" si="411"/>
        <v>0</v>
      </c>
      <c r="BC325" s="91">
        <f t="shared" si="411"/>
        <v>0</v>
      </c>
      <c r="BD325" s="91">
        <f t="shared" si="411"/>
        <v>312</v>
      </c>
      <c r="BE325" s="91">
        <f t="shared" si="411"/>
        <v>0</v>
      </c>
      <c r="BF325" s="91">
        <f t="shared" si="411"/>
        <v>0</v>
      </c>
      <c r="BG325" s="91">
        <f t="shared" si="411"/>
        <v>0</v>
      </c>
      <c r="BH325" s="91">
        <f t="shared" si="411"/>
        <v>0</v>
      </c>
      <c r="BI325" s="91">
        <f t="shared" si="411"/>
        <v>312</v>
      </c>
      <c r="BJ325" s="91">
        <f t="shared" si="411"/>
        <v>0</v>
      </c>
      <c r="BK325" s="91">
        <f t="shared" si="411"/>
        <v>0</v>
      </c>
      <c r="BL325" s="91">
        <f t="shared" si="411"/>
        <v>0</v>
      </c>
      <c r="BM325" s="91">
        <f t="shared" si="411"/>
        <v>0</v>
      </c>
      <c r="BN325" s="91">
        <f t="shared" si="411"/>
        <v>0</v>
      </c>
      <c r="BO325" s="91">
        <f t="shared" si="411"/>
        <v>312</v>
      </c>
      <c r="BP325" s="91">
        <f t="shared" si="411"/>
        <v>0</v>
      </c>
      <c r="BQ325" s="91">
        <f t="shared" si="411"/>
        <v>0</v>
      </c>
      <c r="BR325" s="91"/>
      <c r="BS325" s="91">
        <f t="shared" si="411"/>
        <v>0</v>
      </c>
      <c r="BT325" s="91">
        <f t="shared" si="411"/>
        <v>0</v>
      </c>
      <c r="BU325" s="91">
        <f t="shared" si="411"/>
        <v>312</v>
      </c>
      <c r="BV325" s="91">
        <f>BV326</f>
        <v>0</v>
      </c>
      <c r="BW325" s="91">
        <f t="shared" si="411"/>
        <v>312</v>
      </c>
      <c r="BX325" s="91">
        <f>BX326</f>
        <v>0</v>
      </c>
      <c r="BY325" s="77">
        <f t="shared" si="349"/>
        <v>100</v>
      </c>
      <c r="BZ325" s="72"/>
    </row>
    <row r="326" spans="1:78" s="10" customFormat="1" ht="86.25" customHeight="1" hidden="1">
      <c r="A326" s="88" t="s">
        <v>359</v>
      </c>
      <c r="B326" s="89" t="s">
        <v>155</v>
      </c>
      <c r="C326" s="89" t="s">
        <v>127</v>
      </c>
      <c r="D326" s="90" t="s">
        <v>186</v>
      </c>
      <c r="E326" s="89" t="s">
        <v>145</v>
      </c>
      <c r="F326" s="99">
        <v>307</v>
      </c>
      <c r="G326" s="75">
        <f>H326-F326</f>
        <v>5</v>
      </c>
      <c r="H326" s="100">
        <v>312</v>
      </c>
      <c r="I326" s="165"/>
      <c r="J326" s="165"/>
      <c r="K326" s="165"/>
      <c r="L326" s="165"/>
      <c r="M326" s="75">
        <f>H326+J326+K326+L326</f>
        <v>312</v>
      </c>
      <c r="N326" s="78">
        <f>I326+L326</f>
        <v>0</v>
      </c>
      <c r="O326" s="165"/>
      <c r="P326" s="165"/>
      <c r="Q326" s="156"/>
      <c r="R326" s="156"/>
      <c r="S326" s="75">
        <f>M326+O326+P326+Q326+R326</f>
        <v>312</v>
      </c>
      <c r="T326" s="75">
        <f>N326+R326</f>
        <v>0</v>
      </c>
      <c r="U326" s="156"/>
      <c r="V326" s="156"/>
      <c r="W326" s="156"/>
      <c r="X326" s="156"/>
      <c r="Y326" s="156"/>
      <c r="Z326" s="156"/>
      <c r="AA326" s="156"/>
      <c r="AB326" s="75">
        <f>S326+U326+V326+W326+X326+Y326+Z326+AA326</f>
        <v>312</v>
      </c>
      <c r="AC326" s="75">
        <f>T326+Z326+AA326</f>
        <v>0</v>
      </c>
      <c r="AD326" s="156"/>
      <c r="AE326" s="156"/>
      <c r="AF326" s="157"/>
      <c r="AG326" s="156"/>
      <c r="AH326" s="156"/>
      <c r="AI326" s="75">
        <f>AB326+AD326+AE326+AF326+AG326+AH326</f>
        <v>312</v>
      </c>
      <c r="AJ326" s="75">
        <f>AC326+AH326</f>
        <v>0</v>
      </c>
      <c r="AK326" s="156"/>
      <c r="AL326" s="75">
        <f>AI326+AK326</f>
        <v>312</v>
      </c>
      <c r="AM326" s="75">
        <f>AJ326</f>
        <v>0</v>
      </c>
      <c r="AN326" s="156"/>
      <c r="AO326" s="156"/>
      <c r="AP326" s="156"/>
      <c r="AQ326" s="156"/>
      <c r="AR326" s="75">
        <f>AL326+AN326+AO326+AP326+AQ326</f>
        <v>312</v>
      </c>
      <c r="AS326" s="75">
        <f>AM326+AQ326</f>
        <v>0</v>
      </c>
      <c r="AT326" s="159"/>
      <c r="AU326" s="159"/>
      <c r="AV326" s="159"/>
      <c r="AW326" s="76">
        <f>AV326+AU326+AT326+AR326</f>
        <v>312</v>
      </c>
      <c r="AX326" s="76">
        <f>AV326+AS326</f>
        <v>0</v>
      </c>
      <c r="AY326" s="157"/>
      <c r="AZ326" s="157"/>
      <c r="BA326" s="157"/>
      <c r="BB326" s="157"/>
      <c r="BC326" s="157"/>
      <c r="BD326" s="75">
        <f>AW326+AY326+AZ326+BA326+BB326+BC326</f>
        <v>312</v>
      </c>
      <c r="BE326" s="75">
        <f>AX326+BC326</f>
        <v>0</v>
      </c>
      <c r="BF326" s="156"/>
      <c r="BG326" s="156"/>
      <c r="BH326" s="156"/>
      <c r="BI326" s="75">
        <f>BD326+BF326+BG326+BH326</f>
        <v>312</v>
      </c>
      <c r="BJ326" s="75">
        <f>BE326+BH326</f>
        <v>0</v>
      </c>
      <c r="BK326" s="158"/>
      <c r="BL326" s="158"/>
      <c r="BM326" s="158"/>
      <c r="BN326" s="158"/>
      <c r="BO326" s="75">
        <f>BI326+BK326+BL326+BM326+BN326</f>
        <v>312</v>
      </c>
      <c r="BP326" s="75">
        <f>BJ326+BN326</f>
        <v>0</v>
      </c>
      <c r="BQ326" s="156"/>
      <c r="BR326" s="156"/>
      <c r="BS326" s="156"/>
      <c r="BT326" s="156"/>
      <c r="BU326" s="75">
        <f>BO326+BQ326+BS326+BT326</f>
        <v>312</v>
      </c>
      <c r="BV326" s="75">
        <f>BP326+BT326</f>
        <v>0</v>
      </c>
      <c r="BW326" s="75">
        <v>312</v>
      </c>
      <c r="BX326" s="75">
        <f>BR326+BV326</f>
        <v>0</v>
      </c>
      <c r="BY326" s="77">
        <f t="shared" si="349"/>
        <v>100</v>
      </c>
      <c r="BZ326" s="72"/>
    </row>
    <row r="327" spans="1:78" s="10" customFormat="1" ht="39.75" customHeight="1" hidden="1">
      <c r="A327" s="88" t="s">
        <v>329</v>
      </c>
      <c r="B327" s="89" t="s">
        <v>155</v>
      </c>
      <c r="C327" s="89" t="s">
        <v>127</v>
      </c>
      <c r="D327" s="90" t="s">
        <v>328</v>
      </c>
      <c r="E327" s="89"/>
      <c r="F327" s="99"/>
      <c r="G327" s="75"/>
      <c r="H327" s="100"/>
      <c r="I327" s="165"/>
      <c r="J327" s="165"/>
      <c r="K327" s="165"/>
      <c r="L327" s="165"/>
      <c r="M327" s="75"/>
      <c r="N327" s="78"/>
      <c r="O327" s="165"/>
      <c r="P327" s="165"/>
      <c r="Q327" s="156"/>
      <c r="R327" s="156"/>
      <c r="S327" s="75"/>
      <c r="T327" s="75"/>
      <c r="U327" s="156"/>
      <c r="V327" s="156"/>
      <c r="W327" s="156"/>
      <c r="X327" s="156"/>
      <c r="Y327" s="156"/>
      <c r="Z327" s="156"/>
      <c r="AA327" s="156"/>
      <c r="AB327" s="75"/>
      <c r="AC327" s="75"/>
      <c r="AD327" s="156"/>
      <c r="AE327" s="156"/>
      <c r="AF327" s="157"/>
      <c r="AG327" s="156"/>
      <c r="AH327" s="156"/>
      <c r="AI327" s="75"/>
      <c r="AJ327" s="75"/>
      <c r="AK327" s="156"/>
      <c r="AL327" s="75"/>
      <c r="AM327" s="75"/>
      <c r="AN327" s="156">
        <f aca="true" t="shared" si="412" ref="AN327:BI327">AN328</f>
        <v>0</v>
      </c>
      <c r="AO327" s="156">
        <f t="shared" si="412"/>
        <v>0</v>
      </c>
      <c r="AP327" s="156">
        <f t="shared" si="412"/>
        <v>0</v>
      </c>
      <c r="AQ327" s="75">
        <f t="shared" si="412"/>
        <v>2081</v>
      </c>
      <c r="AR327" s="75">
        <f t="shared" si="412"/>
        <v>2081</v>
      </c>
      <c r="AS327" s="75">
        <f t="shared" si="412"/>
        <v>2081</v>
      </c>
      <c r="AT327" s="76">
        <f t="shared" si="412"/>
        <v>0</v>
      </c>
      <c r="AU327" s="76">
        <f t="shared" si="412"/>
        <v>0</v>
      </c>
      <c r="AV327" s="76">
        <f t="shared" si="412"/>
        <v>0</v>
      </c>
      <c r="AW327" s="76">
        <f t="shared" si="412"/>
        <v>2081</v>
      </c>
      <c r="AX327" s="76">
        <f t="shared" si="412"/>
        <v>2081</v>
      </c>
      <c r="AY327" s="75">
        <f t="shared" si="412"/>
        <v>0</v>
      </c>
      <c r="AZ327" s="75">
        <f t="shared" si="412"/>
        <v>0</v>
      </c>
      <c r="BA327" s="75">
        <f t="shared" si="412"/>
        <v>0</v>
      </c>
      <c r="BB327" s="75">
        <f t="shared" si="412"/>
        <v>0</v>
      </c>
      <c r="BC327" s="75">
        <f t="shared" si="412"/>
        <v>0</v>
      </c>
      <c r="BD327" s="75">
        <f t="shared" si="412"/>
        <v>2081</v>
      </c>
      <c r="BE327" s="75">
        <f t="shared" si="412"/>
        <v>2081</v>
      </c>
      <c r="BF327" s="75">
        <f t="shared" si="412"/>
        <v>0</v>
      </c>
      <c r="BG327" s="75">
        <f t="shared" si="412"/>
        <v>0</v>
      </c>
      <c r="BH327" s="75">
        <f t="shared" si="412"/>
        <v>0</v>
      </c>
      <c r="BI327" s="75">
        <f t="shared" si="412"/>
        <v>2081</v>
      </c>
      <c r="BJ327" s="75">
        <f>BJ328</f>
        <v>2081</v>
      </c>
      <c r="BK327" s="75">
        <f aca="true" t="shared" si="413" ref="BK327:BX327">BK328</f>
        <v>0</v>
      </c>
      <c r="BL327" s="75">
        <f t="shared" si="413"/>
        <v>0</v>
      </c>
      <c r="BM327" s="75">
        <f t="shared" si="413"/>
        <v>0</v>
      </c>
      <c r="BN327" s="75">
        <f t="shared" si="413"/>
        <v>0</v>
      </c>
      <c r="BO327" s="75">
        <f t="shared" si="413"/>
        <v>2081</v>
      </c>
      <c r="BP327" s="75">
        <f t="shared" si="413"/>
        <v>2081</v>
      </c>
      <c r="BQ327" s="75">
        <f t="shared" si="413"/>
        <v>0</v>
      </c>
      <c r="BR327" s="75"/>
      <c r="BS327" s="75">
        <f t="shared" si="413"/>
        <v>0</v>
      </c>
      <c r="BT327" s="75">
        <f t="shared" si="413"/>
        <v>0</v>
      </c>
      <c r="BU327" s="75">
        <f t="shared" si="413"/>
        <v>2081</v>
      </c>
      <c r="BV327" s="75">
        <f t="shared" si="413"/>
        <v>2081</v>
      </c>
      <c r="BW327" s="75">
        <f t="shared" si="413"/>
        <v>2081</v>
      </c>
      <c r="BX327" s="75">
        <f t="shared" si="413"/>
        <v>2081</v>
      </c>
      <c r="BY327" s="77">
        <f t="shared" si="349"/>
        <v>100</v>
      </c>
      <c r="BZ327" s="77">
        <f t="shared" si="349"/>
        <v>100</v>
      </c>
    </row>
    <row r="328" spans="1:78" s="10" customFormat="1" ht="72.75" customHeight="1" hidden="1">
      <c r="A328" s="88" t="s">
        <v>138</v>
      </c>
      <c r="B328" s="89" t="s">
        <v>155</v>
      </c>
      <c r="C328" s="89" t="s">
        <v>127</v>
      </c>
      <c r="D328" s="90" t="s">
        <v>328</v>
      </c>
      <c r="E328" s="89" t="s">
        <v>139</v>
      </c>
      <c r="F328" s="99"/>
      <c r="G328" s="75"/>
      <c r="H328" s="100"/>
      <c r="I328" s="165"/>
      <c r="J328" s="165"/>
      <c r="K328" s="165"/>
      <c r="L328" s="165"/>
      <c r="M328" s="75"/>
      <c r="N328" s="78"/>
      <c r="O328" s="165"/>
      <c r="P328" s="165"/>
      <c r="Q328" s="156"/>
      <c r="R328" s="156"/>
      <c r="S328" s="75"/>
      <c r="T328" s="75"/>
      <c r="U328" s="156"/>
      <c r="V328" s="156"/>
      <c r="W328" s="156"/>
      <c r="X328" s="156"/>
      <c r="Y328" s="156"/>
      <c r="Z328" s="156"/>
      <c r="AA328" s="156"/>
      <c r="AB328" s="75"/>
      <c r="AC328" s="75"/>
      <c r="AD328" s="156"/>
      <c r="AE328" s="156"/>
      <c r="AF328" s="157"/>
      <c r="AG328" s="156"/>
      <c r="AH328" s="156"/>
      <c r="AI328" s="75"/>
      <c r="AJ328" s="75"/>
      <c r="AK328" s="156"/>
      <c r="AL328" s="75"/>
      <c r="AM328" s="75"/>
      <c r="AN328" s="156"/>
      <c r="AO328" s="156"/>
      <c r="AP328" s="156"/>
      <c r="AQ328" s="75">
        <v>2081</v>
      </c>
      <c r="AR328" s="75">
        <f>AL328+AN328+AO328+AP328+AQ328</f>
        <v>2081</v>
      </c>
      <c r="AS328" s="75">
        <f>AM328+AQ328</f>
        <v>2081</v>
      </c>
      <c r="AT328" s="76"/>
      <c r="AU328" s="76"/>
      <c r="AV328" s="76"/>
      <c r="AW328" s="76">
        <f>AV328+AU328+AT328+AR328</f>
        <v>2081</v>
      </c>
      <c r="AX328" s="76">
        <f>AV328+AS328</f>
        <v>2081</v>
      </c>
      <c r="AY328" s="157"/>
      <c r="AZ328" s="157"/>
      <c r="BA328" s="157"/>
      <c r="BB328" s="157"/>
      <c r="BC328" s="157"/>
      <c r="BD328" s="75">
        <f>AW328+AY328+AZ328+BA328+BB328+BC328</f>
        <v>2081</v>
      </c>
      <c r="BE328" s="75">
        <f>AX328+BC328</f>
        <v>2081</v>
      </c>
      <c r="BF328" s="156"/>
      <c r="BG328" s="156"/>
      <c r="BH328" s="156"/>
      <c r="BI328" s="75">
        <f>BD328+BF328+BG328+BH328</f>
        <v>2081</v>
      </c>
      <c r="BJ328" s="75">
        <f>BE328+BH328</f>
        <v>2081</v>
      </c>
      <c r="BK328" s="158"/>
      <c r="BL328" s="158"/>
      <c r="BM328" s="158"/>
      <c r="BN328" s="158"/>
      <c r="BO328" s="75">
        <f>BI328+BK328+BL328+BM328+BN328</f>
        <v>2081</v>
      </c>
      <c r="BP328" s="75">
        <f>BJ328+BN328</f>
        <v>2081</v>
      </c>
      <c r="BQ328" s="156"/>
      <c r="BR328" s="156"/>
      <c r="BS328" s="156"/>
      <c r="BT328" s="156"/>
      <c r="BU328" s="75">
        <f>BO328+BQ328+BS328+BT328</f>
        <v>2081</v>
      </c>
      <c r="BV328" s="75">
        <f>BP328+BT328</f>
        <v>2081</v>
      </c>
      <c r="BW328" s="75">
        <v>2081</v>
      </c>
      <c r="BX328" s="75">
        <v>2081</v>
      </c>
      <c r="BY328" s="77">
        <f t="shared" si="349"/>
        <v>100</v>
      </c>
      <c r="BZ328" s="77">
        <f t="shared" si="349"/>
        <v>100</v>
      </c>
    </row>
    <row r="329" spans="1:78" s="10" customFormat="1" ht="34.5" customHeight="1" hidden="1">
      <c r="A329" s="88" t="s">
        <v>121</v>
      </c>
      <c r="B329" s="89" t="s">
        <v>155</v>
      </c>
      <c r="C329" s="89" t="s">
        <v>127</v>
      </c>
      <c r="D329" s="90" t="s">
        <v>122</v>
      </c>
      <c r="E329" s="89"/>
      <c r="F329" s="99">
        <f>F330</f>
        <v>0</v>
      </c>
      <c r="G329" s="99">
        <f>G330</f>
        <v>8335</v>
      </c>
      <c r="H329" s="99">
        <f>H330</f>
        <v>8335</v>
      </c>
      <c r="I329" s="99">
        <f aca="true" t="shared" si="414" ref="I329:BW329">I330</f>
        <v>0</v>
      </c>
      <c r="J329" s="99">
        <f t="shared" si="414"/>
        <v>0</v>
      </c>
      <c r="K329" s="99">
        <f t="shared" si="414"/>
        <v>0</v>
      </c>
      <c r="L329" s="99">
        <f t="shared" si="414"/>
        <v>0</v>
      </c>
      <c r="M329" s="99">
        <f t="shared" si="414"/>
        <v>8335</v>
      </c>
      <c r="N329" s="99">
        <f t="shared" si="414"/>
        <v>0</v>
      </c>
      <c r="O329" s="99">
        <f t="shared" si="414"/>
        <v>0</v>
      </c>
      <c r="P329" s="99"/>
      <c r="Q329" s="99">
        <f t="shared" si="414"/>
        <v>0</v>
      </c>
      <c r="R329" s="99">
        <f t="shared" si="414"/>
        <v>0</v>
      </c>
      <c r="S329" s="99">
        <f t="shared" si="414"/>
        <v>8335</v>
      </c>
      <c r="T329" s="99">
        <f t="shared" si="414"/>
        <v>0</v>
      </c>
      <c r="U329" s="99">
        <f t="shared" si="414"/>
        <v>0</v>
      </c>
      <c r="V329" s="99">
        <f t="shared" si="414"/>
        <v>0</v>
      </c>
      <c r="W329" s="99">
        <f t="shared" si="414"/>
        <v>0</v>
      </c>
      <c r="X329" s="99">
        <f t="shared" si="414"/>
        <v>0</v>
      </c>
      <c r="Y329" s="99">
        <f t="shared" si="414"/>
        <v>0</v>
      </c>
      <c r="Z329" s="99">
        <f t="shared" si="414"/>
        <v>0</v>
      </c>
      <c r="AA329" s="99">
        <f t="shared" si="414"/>
        <v>0</v>
      </c>
      <c r="AB329" s="99">
        <f t="shared" si="414"/>
        <v>8335</v>
      </c>
      <c r="AC329" s="99">
        <f t="shared" si="414"/>
        <v>0</v>
      </c>
      <c r="AD329" s="99">
        <f t="shared" si="414"/>
        <v>0</v>
      </c>
      <c r="AE329" s="99">
        <f t="shared" si="414"/>
        <v>0</v>
      </c>
      <c r="AF329" s="99">
        <f t="shared" si="414"/>
        <v>-4600</v>
      </c>
      <c r="AG329" s="99">
        <f t="shared" si="414"/>
        <v>0</v>
      </c>
      <c r="AH329" s="99">
        <f t="shared" si="414"/>
        <v>0</v>
      </c>
      <c r="AI329" s="99">
        <f t="shared" si="414"/>
        <v>3735</v>
      </c>
      <c r="AJ329" s="99">
        <f t="shared" si="414"/>
        <v>0</v>
      </c>
      <c r="AK329" s="99">
        <f t="shared" si="414"/>
        <v>0</v>
      </c>
      <c r="AL329" s="99">
        <f t="shared" si="414"/>
        <v>3735</v>
      </c>
      <c r="AM329" s="99">
        <f t="shared" si="414"/>
        <v>0</v>
      </c>
      <c r="AN329" s="99">
        <f t="shared" si="414"/>
        <v>0</v>
      </c>
      <c r="AO329" s="99">
        <f t="shared" si="414"/>
        <v>0</v>
      </c>
      <c r="AP329" s="99">
        <f t="shared" si="414"/>
        <v>0</v>
      </c>
      <c r="AQ329" s="99">
        <f t="shared" si="414"/>
        <v>0</v>
      </c>
      <c r="AR329" s="99">
        <f t="shared" si="414"/>
        <v>3735</v>
      </c>
      <c r="AS329" s="99">
        <f t="shared" si="414"/>
        <v>0</v>
      </c>
      <c r="AT329" s="117">
        <f t="shared" si="414"/>
        <v>0</v>
      </c>
      <c r="AU329" s="117">
        <f t="shared" si="414"/>
        <v>0</v>
      </c>
      <c r="AV329" s="117">
        <f t="shared" si="414"/>
        <v>0</v>
      </c>
      <c r="AW329" s="117">
        <f t="shared" si="414"/>
        <v>3735</v>
      </c>
      <c r="AX329" s="117">
        <f t="shared" si="414"/>
        <v>0</v>
      </c>
      <c r="AY329" s="99">
        <f t="shared" si="414"/>
        <v>-1078</v>
      </c>
      <c r="AZ329" s="99">
        <f t="shared" si="414"/>
        <v>0</v>
      </c>
      <c r="BA329" s="99">
        <f t="shared" si="414"/>
        <v>0</v>
      </c>
      <c r="BB329" s="99">
        <f t="shared" si="414"/>
        <v>1513</v>
      </c>
      <c r="BC329" s="99">
        <f t="shared" si="414"/>
        <v>0</v>
      </c>
      <c r="BD329" s="99">
        <f t="shared" si="414"/>
        <v>4170</v>
      </c>
      <c r="BE329" s="99">
        <f t="shared" si="414"/>
        <v>0</v>
      </c>
      <c r="BF329" s="99">
        <f t="shared" si="414"/>
        <v>0</v>
      </c>
      <c r="BG329" s="99">
        <f t="shared" si="414"/>
        <v>0</v>
      </c>
      <c r="BH329" s="99">
        <f t="shared" si="414"/>
        <v>0</v>
      </c>
      <c r="BI329" s="99">
        <f t="shared" si="414"/>
        <v>4170</v>
      </c>
      <c r="BJ329" s="99">
        <f t="shared" si="414"/>
        <v>0</v>
      </c>
      <c r="BK329" s="99">
        <f t="shared" si="414"/>
        <v>0</v>
      </c>
      <c r="BL329" s="99">
        <f t="shared" si="414"/>
        <v>0</v>
      </c>
      <c r="BM329" s="99">
        <f t="shared" si="414"/>
        <v>-1760</v>
      </c>
      <c r="BN329" s="99">
        <f t="shared" si="414"/>
        <v>0</v>
      </c>
      <c r="BO329" s="99">
        <f t="shared" si="414"/>
        <v>2410</v>
      </c>
      <c r="BP329" s="99">
        <f t="shared" si="414"/>
        <v>0</v>
      </c>
      <c r="BQ329" s="99">
        <f t="shared" si="414"/>
        <v>-205</v>
      </c>
      <c r="BR329" s="99"/>
      <c r="BS329" s="99">
        <f t="shared" si="414"/>
        <v>0</v>
      </c>
      <c r="BT329" s="99">
        <f t="shared" si="414"/>
        <v>0</v>
      </c>
      <c r="BU329" s="99">
        <f t="shared" si="414"/>
        <v>2205</v>
      </c>
      <c r="BV329" s="99">
        <f>BV330</f>
        <v>0</v>
      </c>
      <c r="BW329" s="99">
        <f t="shared" si="414"/>
        <v>1689</v>
      </c>
      <c r="BX329" s="99">
        <f>BX330</f>
        <v>0</v>
      </c>
      <c r="BY329" s="77">
        <f t="shared" si="349"/>
        <v>76.59863945578232</v>
      </c>
      <c r="BZ329" s="72"/>
    </row>
    <row r="330" spans="1:78" s="10" customFormat="1" ht="68.25" customHeight="1" hidden="1">
      <c r="A330" s="88" t="s">
        <v>138</v>
      </c>
      <c r="B330" s="89" t="s">
        <v>155</v>
      </c>
      <c r="C330" s="89" t="s">
        <v>127</v>
      </c>
      <c r="D330" s="90" t="s">
        <v>122</v>
      </c>
      <c r="E330" s="89" t="s">
        <v>139</v>
      </c>
      <c r="F330" s="99"/>
      <c r="G330" s="75">
        <f>H330-F330</f>
        <v>8335</v>
      </c>
      <c r="H330" s="100">
        <v>8335</v>
      </c>
      <c r="I330" s="165"/>
      <c r="J330" s="165"/>
      <c r="K330" s="165"/>
      <c r="L330" s="165"/>
      <c r="M330" s="75">
        <f>H330+J330+K330+L330</f>
        <v>8335</v>
      </c>
      <c r="N330" s="78">
        <f>I330+L330</f>
        <v>0</v>
      </c>
      <c r="O330" s="165"/>
      <c r="P330" s="165"/>
      <c r="Q330" s="156"/>
      <c r="R330" s="156"/>
      <c r="S330" s="75">
        <f>M330+O330+P330+Q330+R330</f>
        <v>8335</v>
      </c>
      <c r="T330" s="75">
        <f>N330+R330</f>
        <v>0</v>
      </c>
      <c r="U330" s="156"/>
      <c r="V330" s="156"/>
      <c r="W330" s="156"/>
      <c r="X330" s="156"/>
      <c r="Y330" s="156"/>
      <c r="Z330" s="156"/>
      <c r="AA330" s="156"/>
      <c r="AB330" s="75">
        <f>S330+U330+V330+W330+X330+Y330+Z330+AA330</f>
        <v>8335</v>
      </c>
      <c r="AC330" s="75">
        <f>T330+Z330+AA330</f>
        <v>0</v>
      </c>
      <c r="AD330" s="156"/>
      <c r="AE330" s="156"/>
      <c r="AF330" s="75">
        <v>-4600</v>
      </c>
      <c r="AG330" s="156"/>
      <c r="AH330" s="156"/>
      <c r="AI330" s="75">
        <f>AB330+AD330+AE330+AF330+AG330+AH330</f>
        <v>3735</v>
      </c>
      <c r="AJ330" s="75">
        <f>AC330+AH330</f>
        <v>0</v>
      </c>
      <c r="AK330" s="156"/>
      <c r="AL330" s="75">
        <f>AI330+AK330</f>
        <v>3735</v>
      </c>
      <c r="AM330" s="75">
        <f>AJ330</f>
        <v>0</v>
      </c>
      <c r="AN330" s="156"/>
      <c r="AO330" s="156"/>
      <c r="AP330" s="156"/>
      <c r="AQ330" s="156"/>
      <c r="AR330" s="75">
        <f>AL330+AN330+AO330+AP330+AQ330</f>
        <v>3735</v>
      </c>
      <c r="AS330" s="75">
        <f>AM330+AQ330</f>
        <v>0</v>
      </c>
      <c r="AT330" s="159"/>
      <c r="AU330" s="159"/>
      <c r="AV330" s="159"/>
      <c r="AW330" s="76">
        <f>AV330+AU330+AT330+AR330</f>
        <v>3735</v>
      </c>
      <c r="AX330" s="76">
        <f>AV330+AS330</f>
        <v>0</v>
      </c>
      <c r="AY330" s="75">
        <v>-1078</v>
      </c>
      <c r="AZ330" s="157"/>
      <c r="BA330" s="157"/>
      <c r="BB330" s="75">
        <v>1513</v>
      </c>
      <c r="BC330" s="157"/>
      <c r="BD330" s="75">
        <f>AW330+AY330+AZ330+BA330+BB330+BC330</f>
        <v>4170</v>
      </c>
      <c r="BE330" s="75">
        <f>AX330+BC330</f>
        <v>0</v>
      </c>
      <c r="BF330" s="156"/>
      <c r="BG330" s="156"/>
      <c r="BH330" s="156"/>
      <c r="BI330" s="75">
        <f>BD330+BF330+BG330+BH330</f>
        <v>4170</v>
      </c>
      <c r="BJ330" s="75">
        <f>BE330+BH330</f>
        <v>0</v>
      </c>
      <c r="BK330" s="158"/>
      <c r="BL330" s="158"/>
      <c r="BM330" s="75">
        <v>-1760</v>
      </c>
      <c r="BN330" s="158"/>
      <c r="BO330" s="75">
        <f>BI330+BK330+BL330+BM330+BN330</f>
        <v>2410</v>
      </c>
      <c r="BP330" s="75">
        <f>BJ330+BN330</f>
        <v>0</v>
      </c>
      <c r="BQ330" s="78">
        <v>-205</v>
      </c>
      <c r="BR330" s="78"/>
      <c r="BS330" s="156"/>
      <c r="BT330" s="156"/>
      <c r="BU330" s="75">
        <f>BO330+BQ330+BS330+BT330</f>
        <v>2205</v>
      </c>
      <c r="BV330" s="75">
        <f>BP330+BT330</f>
        <v>0</v>
      </c>
      <c r="BW330" s="75">
        <v>1689</v>
      </c>
      <c r="BX330" s="75">
        <f>BR330+BV330</f>
        <v>0</v>
      </c>
      <c r="BY330" s="77">
        <f t="shared" si="349"/>
        <v>76.59863945578232</v>
      </c>
      <c r="BZ330" s="72"/>
    </row>
    <row r="331" spans="1:78" s="10" customFormat="1" ht="12.75" customHeight="1">
      <c r="A331" s="88"/>
      <c r="B331" s="89"/>
      <c r="C331" s="89"/>
      <c r="D331" s="90"/>
      <c r="E331" s="89"/>
      <c r="F331" s="166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56"/>
      <c r="R331" s="156"/>
      <c r="S331" s="157"/>
      <c r="T331" s="157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7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9"/>
      <c r="AU331" s="159"/>
      <c r="AV331" s="159"/>
      <c r="AW331" s="159"/>
      <c r="AX331" s="159"/>
      <c r="AY331" s="157"/>
      <c r="AZ331" s="157"/>
      <c r="BA331" s="157"/>
      <c r="BB331" s="157"/>
      <c r="BC331" s="157"/>
      <c r="BD331" s="158"/>
      <c r="BE331" s="158"/>
      <c r="BF331" s="156"/>
      <c r="BG331" s="156"/>
      <c r="BH331" s="156"/>
      <c r="BI331" s="156"/>
      <c r="BJ331" s="156"/>
      <c r="BK331" s="158"/>
      <c r="BL331" s="158"/>
      <c r="BM331" s="158"/>
      <c r="BN331" s="158"/>
      <c r="BO331" s="158"/>
      <c r="BP331" s="158"/>
      <c r="BQ331" s="156"/>
      <c r="BR331" s="156"/>
      <c r="BS331" s="156"/>
      <c r="BT331" s="156"/>
      <c r="BU331" s="156"/>
      <c r="BV331" s="156"/>
      <c r="BW331" s="156"/>
      <c r="BX331" s="156"/>
      <c r="BY331" s="72"/>
      <c r="BZ331" s="72"/>
    </row>
    <row r="332" spans="1:78" s="14" customFormat="1" ht="24" customHeight="1">
      <c r="A332" s="66" t="s">
        <v>94</v>
      </c>
      <c r="B332" s="67" t="s">
        <v>155</v>
      </c>
      <c r="C332" s="67" t="s">
        <v>132</v>
      </c>
      <c r="D332" s="85"/>
      <c r="E332" s="67"/>
      <c r="F332" s="69">
        <f aca="true" t="shared" si="415" ref="F332:U333">F333</f>
        <v>4607</v>
      </c>
      <c r="G332" s="69">
        <f t="shared" si="415"/>
        <v>121</v>
      </c>
      <c r="H332" s="69">
        <f t="shared" si="415"/>
        <v>4728</v>
      </c>
      <c r="I332" s="69">
        <f t="shared" si="415"/>
        <v>0</v>
      </c>
      <c r="J332" s="69">
        <f t="shared" si="415"/>
        <v>0</v>
      </c>
      <c r="K332" s="69">
        <f t="shared" si="415"/>
        <v>0</v>
      </c>
      <c r="L332" s="69">
        <f t="shared" si="415"/>
        <v>0</v>
      </c>
      <c r="M332" s="69">
        <f t="shared" si="415"/>
        <v>4728</v>
      </c>
      <c r="N332" s="69">
        <f t="shared" si="415"/>
        <v>0</v>
      </c>
      <c r="O332" s="69">
        <f t="shared" si="415"/>
        <v>0</v>
      </c>
      <c r="P332" s="69">
        <f t="shared" si="415"/>
        <v>0</v>
      </c>
      <c r="Q332" s="69">
        <f t="shared" si="415"/>
        <v>0</v>
      </c>
      <c r="R332" s="69">
        <f t="shared" si="415"/>
        <v>0</v>
      </c>
      <c r="S332" s="69">
        <f t="shared" si="415"/>
        <v>4728</v>
      </c>
      <c r="T332" s="69">
        <f t="shared" si="415"/>
        <v>0</v>
      </c>
      <c r="U332" s="69">
        <f t="shared" si="415"/>
        <v>0</v>
      </c>
      <c r="V332" s="69">
        <f aca="true" t="shared" si="416" ref="T332:AJ333">V333</f>
        <v>0</v>
      </c>
      <c r="W332" s="69">
        <f t="shared" si="416"/>
        <v>0</v>
      </c>
      <c r="X332" s="69">
        <f t="shared" si="416"/>
        <v>0</v>
      </c>
      <c r="Y332" s="69">
        <f t="shared" si="416"/>
        <v>0</v>
      </c>
      <c r="Z332" s="69">
        <f t="shared" si="416"/>
        <v>0</v>
      </c>
      <c r="AA332" s="69">
        <f t="shared" si="416"/>
        <v>0</v>
      </c>
      <c r="AB332" s="69">
        <f t="shared" si="416"/>
        <v>4728</v>
      </c>
      <c r="AC332" s="69">
        <f t="shared" si="416"/>
        <v>0</v>
      </c>
      <c r="AD332" s="69">
        <f t="shared" si="416"/>
        <v>1</v>
      </c>
      <c r="AE332" s="69">
        <f t="shared" si="416"/>
        <v>3</v>
      </c>
      <c r="AF332" s="69">
        <f t="shared" si="416"/>
        <v>0</v>
      </c>
      <c r="AG332" s="69">
        <f t="shared" si="416"/>
        <v>0</v>
      </c>
      <c r="AH332" s="69">
        <f t="shared" si="416"/>
        <v>0</v>
      </c>
      <c r="AI332" s="69">
        <f t="shared" si="416"/>
        <v>4732</v>
      </c>
      <c r="AJ332" s="69">
        <f t="shared" si="416"/>
        <v>0</v>
      </c>
      <c r="AK332" s="69">
        <f>AK333</f>
        <v>0</v>
      </c>
      <c r="AL332" s="69">
        <f>AL333</f>
        <v>4732</v>
      </c>
      <c r="AM332" s="69">
        <f aca="true" t="shared" si="417" ref="AM332:BX332">AM333</f>
        <v>0</v>
      </c>
      <c r="AN332" s="69">
        <f t="shared" si="417"/>
        <v>0</v>
      </c>
      <c r="AO332" s="69">
        <f t="shared" si="417"/>
        <v>3</v>
      </c>
      <c r="AP332" s="69">
        <f t="shared" si="417"/>
        <v>0</v>
      </c>
      <c r="AQ332" s="69">
        <f t="shared" si="417"/>
        <v>0</v>
      </c>
      <c r="AR332" s="69">
        <f t="shared" si="417"/>
        <v>4735</v>
      </c>
      <c r="AS332" s="69">
        <f t="shared" si="417"/>
        <v>0</v>
      </c>
      <c r="AT332" s="70">
        <f t="shared" si="417"/>
        <v>0</v>
      </c>
      <c r="AU332" s="70">
        <f t="shared" si="417"/>
        <v>0</v>
      </c>
      <c r="AV332" s="70">
        <f t="shared" si="417"/>
        <v>0</v>
      </c>
      <c r="AW332" s="70">
        <f t="shared" si="417"/>
        <v>4735</v>
      </c>
      <c r="AX332" s="70">
        <f t="shared" si="417"/>
        <v>0</v>
      </c>
      <c r="AY332" s="69">
        <f t="shared" si="417"/>
        <v>-201</v>
      </c>
      <c r="AZ332" s="69">
        <f t="shared" si="417"/>
        <v>0</v>
      </c>
      <c r="BA332" s="69">
        <f t="shared" si="417"/>
        <v>0</v>
      </c>
      <c r="BB332" s="69">
        <f t="shared" si="417"/>
        <v>0</v>
      </c>
      <c r="BC332" s="69">
        <f t="shared" si="417"/>
        <v>0</v>
      </c>
      <c r="BD332" s="69">
        <f t="shared" si="417"/>
        <v>4534</v>
      </c>
      <c r="BE332" s="69">
        <f t="shared" si="417"/>
        <v>0</v>
      </c>
      <c r="BF332" s="69">
        <f t="shared" si="417"/>
        <v>0</v>
      </c>
      <c r="BG332" s="69">
        <f t="shared" si="417"/>
        <v>0</v>
      </c>
      <c r="BH332" s="69">
        <f t="shared" si="417"/>
        <v>0</v>
      </c>
      <c r="BI332" s="69">
        <f t="shared" si="417"/>
        <v>4534</v>
      </c>
      <c r="BJ332" s="69">
        <f t="shared" si="417"/>
        <v>0</v>
      </c>
      <c r="BK332" s="69">
        <f t="shared" si="417"/>
        <v>0</v>
      </c>
      <c r="BL332" s="69">
        <f t="shared" si="417"/>
        <v>0</v>
      </c>
      <c r="BM332" s="69">
        <f t="shared" si="417"/>
        <v>0</v>
      </c>
      <c r="BN332" s="69">
        <f t="shared" si="417"/>
        <v>0</v>
      </c>
      <c r="BO332" s="69">
        <f t="shared" si="417"/>
        <v>4534</v>
      </c>
      <c r="BP332" s="69">
        <f t="shared" si="417"/>
        <v>0</v>
      </c>
      <c r="BQ332" s="69">
        <f t="shared" si="417"/>
        <v>0</v>
      </c>
      <c r="BR332" s="69"/>
      <c r="BS332" s="69">
        <f t="shared" si="417"/>
        <v>0</v>
      </c>
      <c r="BT332" s="69">
        <f t="shared" si="417"/>
        <v>0</v>
      </c>
      <c r="BU332" s="69">
        <f t="shared" si="417"/>
        <v>4534</v>
      </c>
      <c r="BV332" s="69">
        <f t="shared" si="417"/>
        <v>0</v>
      </c>
      <c r="BW332" s="69">
        <f t="shared" si="417"/>
        <v>4019</v>
      </c>
      <c r="BX332" s="69">
        <f t="shared" si="417"/>
        <v>0</v>
      </c>
      <c r="BY332" s="71">
        <f t="shared" si="349"/>
        <v>88.64137626819584</v>
      </c>
      <c r="BZ332" s="72"/>
    </row>
    <row r="333" spans="1:78" s="14" customFormat="1" ht="38.25" customHeight="1" hidden="1">
      <c r="A333" s="88" t="s">
        <v>171</v>
      </c>
      <c r="B333" s="89" t="s">
        <v>155</v>
      </c>
      <c r="C333" s="89" t="s">
        <v>132</v>
      </c>
      <c r="D333" s="90" t="s">
        <v>95</v>
      </c>
      <c r="E333" s="89"/>
      <c r="F333" s="75">
        <f t="shared" si="415"/>
        <v>4607</v>
      </c>
      <c r="G333" s="75">
        <f t="shared" si="415"/>
        <v>121</v>
      </c>
      <c r="H333" s="75">
        <f t="shared" si="415"/>
        <v>4728</v>
      </c>
      <c r="I333" s="75">
        <f t="shared" si="415"/>
        <v>0</v>
      </c>
      <c r="J333" s="75">
        <f t="shared" si="415"/>
        <v>0</v>
      </c>
      <c r="K333" s="75">
        <f t="shared" si="415"/>
        <v>0</v>
      </c>
      <c r="L333" s="75">
        <f t="shared" si="415"/>
        <v>0</v>
      </c>
      <c r="M333" s="75">
        <f t="shared" si="415"/>
        <v>4728</v>
      </c>
      <c r="N333" s="75">
        <f t="shared" si="415"/>
        <v>0</v>
      </c>
      <c r="O333" s="75">
        <f t="shared" si="415"/>
        <v>0</v>
      </c>
      <c r="P333" s="75">
        <f t="shared" si="415"/>
        <v>0</v>
      </c>
      <c r="Q333" s="75">
        <f t="shared" si="415"/>
        <v>0</v>
      </c>
      <c r="R333" s="75">
        <f t="shared" si="415"/>
        <v>0</v>
      </c>
      <c r="S333" s="75">
        <f t="shared" si="415"/>
        <v>4728</v>
      </c>
      <c r="T333" s="75">
        <f t="shared" si="416"/>
        <v>0</v>
      </c>
      <c r="U333" s="75">
        <f t="shared" si="416"/>
        <v>0</v>
      </c>
      <c r="V333" s="75">
        <f t="shared" si="416"/>
        <v>0</v>
      </c>
      <c r="W333" s="75">
        <f t="shared" si="416"/>
        <v>0</v>
      </c>
      <c r="X333" s="75">
        <f t="shared" si="416"/>
        <v>0</v>
      </c>
      <c r="Y333" s="75">
        <f t="shared" si="416"/>
        <v>0</v>
      </c>
      <c r="Z333" s="75">
        <f t="shared" si="416"/>
        <v>0</v>
      </c>
      <c r="AA333" s="75">
        <f t="shared" si="416"/>
        <v>0</v>
      </c>
      <c r="AB333" s="75">
        <f t="shared" si="416"/>
        <v>4728</v>
      </c>
      <c r="AC333" s="75">
        <f aca="true" t="shared" si="418" ref="AC333:BX333">AC334</f>
        <v>0</v>
      </c>
      <c r="AD333" s="75">
        <f t="shared" si="418"/>
        <v>1</v>
      </c>
      <c r="AE333" s="75">
        <f t="shared" si="418"/>
        <v>3</v>
      </c>
      <c r="AF333" s="75">
        <f t="shared" si="418"/>
        <v>0</v>
      </c>
      <c r="AG333" s="75">
        <f t="shared" si="418"/>
        <v>0</v>
      </c>
      <c r="AH333" s="75">
        <f t="shared" si="418"/>
        <v>0</v>
      </c>
      <c r="AI333" s="75">
        <f t="shared" si="418"/>
        <v>4732</v>
      </c>
      <c r="AJ333" s="75">
        <f t="shared" si="418"/>
        <v>0</v>
      </c>
      <c r="AK333" s="75">
        <f t="shared" si="418"/>
        <v>0</v>
      </c>
      <c r="AL333" s="75">
        <f t="shared" si="418"/>
        <v>4732</v>
      </c>
      <c r="AM333" s="75">
        <f t="shared" si="418"/>
        <v>0</v>
      </c>
      <c r="AN333" s="75">
        <f t="shared" si="418"/>
        <v>0</v>
      </c>
      <c r="AO333" s="75">
        <f t="shared" si="418"/>
        <v>3</v>
      </c>
      <c r="AP333" s="75">
        <f t="shared" si="418"/>
        <v>0</v>
      </c>
      <c r="AQ333" s="75">
        <f t="shared" si="418"/>
        <v>0</v>
      </c>
      <c r="AR333" s="75">
        <f t="shared" si="418"/>
        <v>4735</v>
      </c>
      <c r="AS333" s="75">
        <f t="shared" si="418"/>
        <v>0</v>
      </c>
      <c r="AT333" s="76">
        <f t="shared" si="418"/>
        <v>0</v>
      </c>
      <c r="AU333" s="76">
        <f t="shared" si="418"/>
        <v>0</v>
      </c>
      <c r="AV333" s="76">
        <f t="shared" si="418"/>
        <v>0</v>
      </c>
      <c r="AW333" s="76">
        <f t="shared" si="418"/>
        <v>4735</v>
      </c>
      <c r="AX333" s="76">
        <f t="shared" si="418"/>
        <v>0</v>
      </c>
      <c r="AY333" s="75">
        <f t="shared" si="418"/>
        <v>-201</v>
      </c>
      <c r="AZ333" s="75">
        <f t="shared" si="418"/>
        <v>0</v>
      </c>
      <c r="BA333" s="75">
        <f t="shared" si="418"/>
        <v>0</v>
      </c>
      <c r="BB333" s="75">
        <f t="shared" si="418"/>
        <v>0</v>
      </c>
      <c r="BC333" s="75">
        <f t="shared" si="418"/>
        <v>0</v>
      </c>
      <c r="BD333" s="75">
        <f t="shared" si="418"/>
        <v>4534</v>
      </c>
      <c r="BE333" s="75">
        <f t="shared" si="418"/>
        <v>0</v>
      </c>
      <c r="BF333" s="75">
        <f t="shared" si="418"/>
        <v>0</v>
      </c>
      <c r="BG333" s="75">
        <f t="shared" si="418"/>
        <v>0</v>
      </c>
      <c r="BH333" s="75">
        <f t="shared" si="418"/>
        <v>0</v>
      </c>
      <c r="BI333" s="75">
        <f t="shared" si="418"/>
        <v>4534</v>
      </c>
      <c r="BJ333" s="75">
        <f t="shared" si="418"/>
        <v>0</v>
      </c>
      <c r="BK333" s="75">
        <f t="shared" si="418"/>
        <v>0</v>
      </c>
      <c r="BL333" s="75">
        <f t="shared" si="418"/>
        <v>0</v>
      </c>
      <c r="BM333" s="75">
        <f t="shared" si="418"/>
        <v>0</v>
      </c>
      <c r="BN333" s="75">
        <f t="shared" si="418"/>
        <v>0</v>
      </c>
      <c r="BO333" s="75">
        <f t="shared" si="418"/>
        <v>4534</v>
      </c>
      <c r="BP333" s="75">
        <f t="shared" si="418"/>
        <v>0</v>
      </c>
      <c r="BQ333" s="75">
        <f t="shared" si="418"/>
        <v>0</v>
      </c>
      <c r="BR333" s="75"/>
      <c r="BS333" s="75">
        <f t="shared" si="418"/>
        <v>0</v>
      </c>
      <c r="BT333" s="75">
        <f t="shared" si="418"/>
        <v>0</v>
      </c>
      <c r="BU333" s="75">
        <f t="shared" si="418"/>
        <v>4534</v>
      </c>
      <c r="BV333" s="75">
        <f t="shared" si="418"/>
        <v>0</v>
      </c>
      <c r="BW333" s="75">
        <f t="shared" si="418"/>
        <v>4019</v>
      </c>
      <c r="BX333" s="75">
        <f t="shared" si="418"/>
        <v>0</v>
      </c>
      <c r="BY333" s="77">
        <f t="shared" si="349"/>
        <v>88.64137626819584</v>
      </c>
      <c r="BZ333" s="72"/>
    </row>
    <row r="334" spans="1:78" s="14" customFormat="1" ht="33.75" hidden="1">
      <c r="A334" s="88" t="s">
        <v>129</v>
      </c>
      <c r="B334" s="89" t="s">
        <v>155</v>
      </c>
      <c r="C334" s="89" t="s">
        <v>132</v>
      </c>
      <c r="D334" s="90" t="s">
        <v>95</v>
      </c>
      <c r="E334" s="89" t="s">
        <v>130</v>
      </c>
      <c r="F334" s="91">
        <v>4607</v>
      </c>
      <c r="G334" s="75">
        <f>H334-F334</f>
        <v>121</v>
      </c>
      <c r="H334" s="93">
        <v>4728</v>
      </c>
      <c r="I334" s="93"/>
      <c r="J334" s="93"/>
      <c r="K334" s="93"/>
      <c r="L334" s="93"/>
      <c r="M334" s="75">
        <f>H334+J334+K334+L334</f>
        <v>4728</v>
      </c>
      <c r="N334" s="78">
        <f>I334+L334</f>
        <v>0</v>
      </c>
      <c r="O334" s="93"/>
      <c r="P334" s="93"/>
      <c r="Q334" s="78"/>
      <c r="R334" s="79"/>
      <c r="S334" s="75">
        <f>M334+O334+P334+Q334+R334</f>
        <v>4728</v>
      </c>
      <c r="T334" s="75">
        <f>N334+R334</f>
        <v>0</v>
      </c>
      <c r="U334" s="78"/>
      <c r="V334" s="78"/>
      <c r="W334" s="79"/>
      <c r="X334" s="79"/>
      <c r="Y334" s="79"/>
      <c r="Z334" s="79"/>
      <c r="AA334" s="79"/>
      <c r="AB334" s="75">
        <f>S334+U334+V334+W334+X334+Y334+Z334+AA334</f>
        <v>4728</v>
      </c>
      <c r="AC334" s="75">
        <f>T334+Z334+AA334</f>
        <v>0</v>
      </c>
      <c r="AD334" s="78">
        <v>1</v>
      </c>
      <c r="AE334" s="78">
        <v>3</v>
      </c>
      <c r="AF334" s="75"/>
      <c r="AG334" s="79"/>
      <c r="AH334" s="79"/>
      <c r="AI334" s="75">
        <f>AB334+AD334+AE334+AF334+AG334+AH334</f>
        <v>4732</v>
      </c>
      <c r="AJ334" s="75">
        <f>AC334+AH334</f>
        <v>0</v>
      </c>
      <c r="AK334" s="79"/>
      <c r="AL334" s="75">
        <f>AI334+AK334</f>
        <v>4732</v>
      </c>
      <c r="AM334" s="75">
        <f>AJ334</f>
        <v>0</v>
      </c>
      <c r="AN334" s="79"/>
      <c r="AO334" s="78">
        <v>3</v>
      </c>
      <c r="AP334" s="79"/>
      <c r="AQ334" s="79"/>
      <c r="AR334" s="75">
        <f>AL334+AN334+AO334+AP334+AQ334</f>
        <v>4735</v>
      </c>
      <c r="AS334" s="75">
        <f>AM334+AQ334</f>
        <v>0</v>
      </c>
      <c r="AT334" s="81"/>
      <c r="AU334" s="81"/>
      <c r="AV334" s="81"/>
      <c r="AW334" s="76">
        <f>AV334+AU334+AT334+AR334</f>
        <v>4735</v>
      </c>
      <c r="AX334" s="76">
        <f>AV334+AS334</f>
        <v>0</v>
      </c>
      <c r="AY334" s="75">
        <v>-201</v>
      </c>
      <c r="AZ334" s="75"/>
      <c r="BA334" s="75"/>
      <c r="BB334" s="75"/>
      <c r="BC334" s="75"/>
      <c r="BD334" s="75">
        <f>AW334+AY334+AZ334+BA334+BB334+BC334</f>
        <v>4534</v>
      </c>
      <c r="BE334" s="75">
        <f>AX334+BC334</f>
        <v>0</v>
      </c>
      <c r="BF334" s="79"/>
      <c r="BG334" s="79"/>
      <c r="BH334" s="79"/>
      <c r="BI334" s="75">
        <f>BD334+BF334+BG334+BH334</f>
        <v>4534</v>
      </c>
      <c r="BJ334" s="75">
        <f>BE334+BH334</f>
        <v>0</v>
      </c>
      <c r="BK334" s="78"/>
      <c r="BL334" s="78"/>
      <c r="BM334" s="78"/>
      <c r="BN334" s="78"/>
      <c r="BO334" s="75">
        <f>BI334+BK334+BL334+BM334+BN334</f>
        <v>4534</v>
      </c>
      <c r="BP334" s="75">
        <f>BJ334+BN334</f>
        <v>0</v>
      </c>
      <c r="BQ334" s="79"/>
      <c r="BR334" s="79"/>
      <c r="BS334" s="79"/>
      <c r="BT334" s="79"/>
      <c r="BU334" s="75">
        <f>BO334+BQ334+BS334+BT334</f>
        <v>4534</v>
      </c>
      <c r="BV334" s="75">
        <f>BP334+BT334</f>
        <v>0</v>
      </c>
      <c r="BW334" s="75">
        <f>4020-1</f>
        <v>4019</v>
      </c>
      <c r="BX334" s="75">
        <f>BR334+BV334</f>
        <v>0</v>
      </c>
      <c r="BY334" s="77">
        <f t="shared" si="349"/>
        <v>88.64137626819584</v>
      </c>
      <c r="BZ334" s="72"/>
    </row>
    <row r="335" spans="1:78" s="14" customFormat="1" ht="11.25" customHeight="1">
      <c r="A335" s="88"/>
      <c r="B335" s="89"/>
      <c r="C335" s="89"/>
      <c r="D335" s="90"/>
      <c r="E335" s="89"/>
      <c r="F335" s="91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79"/>
      <c r="R335" s="79"/>
      <c r="S335" s="75"/>
      <c r="T335" s="75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79"/>
      <c r="AF335" s="75"/>
      <c r="AG335" s="79"/>
      <c r="AH335" s="79"/>
      <c r="AI335" s="79"/>
      <c r="AJ335" s="79"/>
      <c r="AK335" s="79"/>
      <c r="AL335" s="79"/>
      <c r="AM335" s="79"/>
      <c r="AN335" s="79"/>
      <c r="AO335" s="79"/>
      <c r="AP335" s="79"/>
      <c r="AQ335" s="79"/>
      <c r="AR335" s="79"/>
      <c r="AS335" s="79"/>
      <c r="AT335" s="81"/>
      <c r="AU335" s="81"/>
      <c r="AV335" s="81"/>
      <c r="AW335" s="81"/>
      <c r="AX335" s="81"/>
      <c r="AY335" s="75"/>
      <c r="AZ335" s="75"/>
      <c r="BA335" s="75"/>
      <c r="BB335" s="75"/>
      <c r="BC335" s="75"/>
      <c r="BD335" s="78"/>
      <c r="BE335" s="78"/>
      <c r="BF335" s="79"/>
      <c r="BG335" s="79"/>
      <c r="BH335" s="79"/>
      <c r="BI335" s="79"/>
      <c r="BJ335" s="79"/>
      <c r="BK335" s="78"/>
      <c r="BL335" s="78"/>
      <c r="BM335" s="78"/>
      <c r="BN335" s="78"/>
      <c r="BO335" s="78"/>
      <c r="BP335" s="78"/>
      <c r="BQ335" s="79"/>
      <c r="BR335" s="79"/>
      <c r="BS335" s="79"/>
      <c r="BT335" s="79"/>
      <c r="BU335" s="79"/>
      <c r="BV335" s="79"/>
      <c r="BW335" s="79"/>
      <c r="BX335" s="79"/>
      <c r="BY335" s="72"/>
      <c r="BZ335" s="72"/>
    </row>
    <row r="336" spans="1:78" s="14" customFormat="1" ht="57" customHeight="1">
      <c r="A336" s="66" t="s">
        <v>180</v>
      </c>
      <c r="B336" s="67" t="s">
        <v>155</v>
      </c>
      <c r="C336" s="67" t="s">
        <v>151</v>
      </c>
      <c r="D336" s="85"/>
      <c r="E336" s="67"/>
      <c r="F336" s="69">
        <f aca="true" t="shared" si="419" ref="F336:U337">F337</f>
        <v>759</v>
      </c>
      <c r="G336" s="69">
        <f t="shared" si="419"/>
        <v>-139</v>
      </c>
      <c r="H336" s="69">
        <f t="shared" si="419"/>
        <v>620</v>
      </c>
      <c r="I336" s="69">
        <f t="shared" si="419"/>
        <v>0</v>
      </c>
      <c r="J336" s="69">
        <f t="shared" si="419"/>
        <v>0</v>
      </c>
      <c r="K336" s="69">
        <f t="shared" si="419"/>
        <v>0</v>
      </c>
      <c r="L336" s="69">
        <f t="shared" si="419"/>
        <v>0</v>
      </c>
      <c r="M336" s="69">
        <f t="shared" si="419"/>
        <v>620</v>
      </c>
      <c r="N336" s="69">
        <f t="shared" si="419"/>
        <v>0</v>
      </c>
      <c r="O336" s="69">
        <f t="shared" si="419"/>
        <v>0</v>
      </c>
      <c r="P336" s="69"/>
      <c r="Q336" s="69">
        <f t="shared" si="419"/>
        <v>0</v>
      </c>
      <c r="R336" s="69">
        <f t="shared" si="419"/>
        <v>0</v>
      </c>
      <c r="S336" s="69">
        <f t="shared" si="419"/>
        <v>620</v>
      </c>
      <c r="T336" s="69">
        <f t="shared" si="419"/>
        <v>0</v>
      </c>
      <c r="U336" s="69">
        <f t="shared" si="419"/>
        <v>0</v>
      </c>
      <c r="V336" s="69">
        <f aca="true" t="shared" si="420" ref="T336:AJ337">V337</f>
        <v>0</v>
      </c>
      <c r="W336" s="69">
        <f t="shared" si="420"/>
        <v>0</v>
      </c>
      <c r="X336" s="69">
        <f t="shared" si="420"/>
        <v>0</v>
      </c>
      <c r="Y336" s="69">
        <f t="shared" si="420"/>
        <v>0</v>
      </c>
      <c r="Z336" s="69">
        <f t="shared" si="420"/>
        <v>0</v>
      </c>
      <c r="AA336" s="69">
        <f t="shared" si="420"/>
        <v>0</v>
      </c>
      <c r="AB336" s="69">
        <f t="shared" si="420"/>
        <v>620</v>
      </c>
      <c r="AC336" s="69">
        <f t="shared" si="420"/>
        <v>0</v>
      </c>
      <c r="AD336" s="69">
        <f t="shared" si="420"/>
        <v>0</v>
      </c>
      <c r="AE336" s="69">
        <f t="shared" si="420"/>
        <v>0</v>
      </c>
      <c r="AF336" s="69">
        <f t="shared" si="420"/>
        <v>0</v>
      </c>
      <c r="AG336" s="69">
        <f t="shared" si="420"/>
        <v>0</v>
      </c>
      <c r="AH336" s="69">
        <f t="shared" si="420"/>
        <v>0</v>
      </c>
      <c r="AI336" s="69">
        <f t="shared" si="420"/>
        <v>620</v>
      </c>
      <c r="AJ336" s="69">
        <f t="shared" si="420"/>
        <v>0</v>
      </c>
      <c r="AK336" s="69">
        <f>AK337</f>
        <v>0</v>
      </c>
      <c r="AL336" s="69">
        <f>AL337</f>
        <v>620</v>
      </c>
      <c r="AM336" s="69">
        <f aca="true" t="shared" si="421" ref="AM336:BX336">AM337</f>
        <v>0</v>
      </c>
      <c r="AN336" s="69">
        <f t="shared" si="421"/>
        <v>0</v>
      </c>
      <c r="AO336" s="69">
        <f t="shared" si="421"/>
        <v>0</v>
      </c>
      <c r="AP336" s="69">
        <f t="shared" si="421"/>
        <v>0</v>
      </c>
      <c r="AQ336" s="69">
        <f t="shared" si="421"/>
        <v>0</v>
      </c>
      <c r="AR336" s="69">
        <f t="shared" si="421"/>
        <v>620</v>
      </c>
      <c r="AS336" s="69">
        <f t="shared" si="421"/>
        <v>0</v>
      </c>
      <c r="AT336" s="70">
        <f t="shared" si="421"/>
        <v>0</v>
      </c>
      <c r="AU336" s="70">
        <f t="shared" si="421"/>
        <v>0</v>
      </c>
      <c r="AV336" s="70">
        <f t="shared" si="421"/>
        <v>0</v>
      </c>
      <c r="AW336" s="70">
        <f t="shared" si="421"/>
        <v>620</v>
      </c>
      <c r="AX336" s="70">
        <f t="shared" si="421"/>
        <v>0</v>
      </c>
      <c r="AY336" s="69">
        <f t="shared" si="421"/>
        <v>-2</v>
      </c>
      <c r="AZ336" s="69">
        <f t="shared" si="421"/>
        <v>0</v>
      </c>
      <c r="BA336" s="69">
        <f t="shared" si="421"/>
        <v>0</v>
      </c>
      <c r="BB336" s="69">
        <f t="shared" si="421"/>
        <v>0</v>
      </c>
      <c r="BC336" s="69">
        <f t="shared" si="421"/>
        <v>0</v>
      </c>
      <c r="BD336" s="69">
        <f t="shared" si="421"/>
        <v>618</v>
      </c>
      <c r="BE336" s="69">
        <f t="shared" si="421"/>
        <v>0</v>
      </c>
      <c r="BF336" s="69">
        <f t="shared" si="421"/>
        <v>0</v>
      </c>
      <c r="BG336" s="69">
        <f t="shared" si="421"/>
        <v>0</v>
      </c>
      <c r="BH336" s="69">
        <f t="shared" si="421"/>
        <v>0</v>
      </c>
      <c r="BI336" s="69">
        <f t="shared" si="421"/>
        <v>618</v>
      </c>
      <c r="BJ336" s="69">
        <f t="shared" si="421"/>
        <v>0</v>
      </c>
      <c r="BK336" s="69">
        <f t="shared" si="421"/>
        <v>0</v>
      </c>
      <c r="BL336" s="69">
        <f t="shared" si="421"/>
        <v>0</v>
      </c>
      <c r="BM336" s="69">
        <f t="shared" si="421"/>
        <v>0</v>
      </c>
      <c r="BN336" s="69">
        <f t="shared" si="421"/>
        <v>0</v>
      </c>
      <c r="BO336" s="69">
        <f t="shared" si="421"/>
        <v>618</v>
      </c>
      <c r="BP336" s="69">
        <f t="shared" si="421"/>
        <v>0</v>
      </c>
      <c r="BQ336" s="69">
        <f t="shared" si="421"/>
        <v>0</v>
      </c>
      <c r="BR336" s="69"/>
      <c r="BS336" s="69">
        <f t="shared" si="421"/>
        <v>0</v>
      </c>
      <c r="BT336" s="69">
        <f t="shared" si="421"/>
        <v>0</v>
      </c>
      <c r="BU336" s="69">
        <f t="shared" si="421"/>
        <v>618</v>
      </c>
      <c r="BV336" s="69">
        <f t="shared" si="421"/>
        <v>0</v>
      </c>
      <c r="BW336" s="69">
        <f t="shared" si="421"/>
        <v>618</v>
      </c>
      <c r="BX336" s="69">
        <f t="shared" si="421"/>
        <v>0</v>
      </c>
      <c r="BY336" s="71">
        <f t="shared" si="349"/>
        <v>100</v>
      </c>
      <c r="BZ336" s="72"/>
    </row>
    <row r="337" spans="1:78" s="13" customFormat="1" ht="56.25" customHeight="1" hidden="1">
      <c r="A337" s="88" t="s">
        <v>92</v>
      </c>
      <c r="B337" s="89" t="s">
        <v>155</v>
      </c>
      <c r="C337" s="89" t="s">
        <v>151</v>
      </c>
      <c r="D337" s="90" t="s">
        <v>93</v>
      </c>
      <c r="E337" s="89"/>
      <c r="F337" s="75">
        <f t="shared" si="419"/>
        <v>759</v>
      </c>
      <c r="G337" s="75">
        <f t="shared" si="419"/>
        <v>-139</v>
      </c>
      <c r="H337" s="75">
        <f t="shared" si="419"/>
        <v>620</v>
      </c>
      <c r="I337" s="75">
        <f t="shared" si="419"/>
        <v>0</v>
      </c>
      <c r="J337" s="75">
        <f t="shared" si="419"/>
        <v>0</v>
      </c>
      <c r="K337" s="75">
        <f t="shared" si="419"/>
        <v>0</v>
      </c>
      <c r="L337" s="75">
        <f t="shared" si="419"/>
        <v>0</v>
      </c>
      <c r="M337" s="75">
        <f t="shared" si="419"/>
        <v>620</v>
      </c>
      <c r="N337" s="75">
        <f t="shared" si="419"/>
        <v>0</v>
      </c>
      <c r="O337" s="75">
        <f t="shared" si="419"/>
        <v>0</v>
      </c>
      <c r="P337" s="75"/>
      <c r="Q337" s="75">
        <f t="shared" si="419"/>
        <v>0</v>
      </c>
      <c r="R337" s="75">
        <f t="shared" si="419"/>
        <v>0</v>
      </c>
      <c r="S337" s="75">
        <f t="shared" si="419"/>
        <v>620</v>
      </c>
      <c r="T337" s="75">
        <f t="shared" si="420"/>
        <v>0</v>
      </c>
      <c r="U337" s="75">
        <f t="shared" si="420"/>
        <v>0</v>
      </c>
      <c r="V337" s="75">
        <f t="shared" si="420"/>
        <v>0</v>
      </c>
      <c r="W337" s="75">
        <f t="shared" si="420"/>
        <v>0</v>
      </c>
      <c r="X337" s="75">
        <f t="shared" si="420"/>
        <v>0</v>
      </c>
      <c r="Y337" s="75">
        <f t="shared" si="420"/>
        <v>0</v>
      </c>
      <c r="Z337" s="75">
        <f t="shared" si="420"/>
        <v>0</v>
      </c>
      <c r="AA337" s="75">
        <f t="shared" si="420"/>
        <v>0</v>
      </c>
      <c r="AB337" s="75">
        <f t="shared" si="420"/>
        <v>620</v>
      </c>
      <c r="AC337" s="75">
        <f aca="true" t="shared" si="422" ref="AC337:BX337">AC338</f>
        <v>0</v>
      </c>
      <c r="AD337" s="75">
        <f t="shared" si="422"/>
        <v>0</v>
      </c>
      <c r="AE337" s="75">
        <f t="shared" si="422"/>
        <v>0</v>
      </c>
      <c r="AF337" s="75">
        <f t="shared" si="422"/>
        <v>0</v>
      </c>
      <c r="AG337" s="75">
        <f t="shared" si="422"/>
        <v>0</v>
      </c>
      <c r="AH337" s="75">
        <f t="shared" si="422"/>
        <v>0</v>
      </c>
      <c r="AI337" s="75">
        <f t="shared" si="422"/>
        <v>620</v>
      </c>
      <c r="AJ337" s="75">
        <f t="shared" si="422"/>
        <v>0</v>
      </c>
      <c r="AK337" s="75">
        <f t="shared" si="422"/>
        <v>0</v>
      </c>
      <c r="AL337" s="75">
        <f t="shared" si="422"/>
        <v>620</v>
      </c>
      <c r="AM337" s="75">
        <f t="shared" si="422"/>
        <v>0</v>
      </c>
      <c r="AN337" s="75">
        <f t="shared" si="422"/>
        <v>0</v>
      </c>
      <c r="AO337" s="75">
        <f t="shared" si="422"/>
        <v>0</v>
      </c>
      <c r="AP337" s="75">
        <f t="shared" si="422"/>
        <v>0</v>
      </c>
      <c r="AQ337" s="75">
        <f t="shared" si="422"/>
        <v>0</v>
      </c>
      <c r="AR337" s="75">
        <f t="shared" si="422"/>
        <v>620</v>
      </c>
      <c r="AS337" s="75">
        <f t="shared" si="422"/>
        <v>0</v>
      </c>
      <c r="AT337" s="76">
        <f t="shared" si="422"/>
        <v>0</v>
      </c>
      <c r="AU337" s="76">
        <f t="shared" si="422"/>
        <v>0</v>
      </c>
      <c r="AV337" s="76">
        <f t="shared" si="422"/>
        <v>0</v>
      </c>
      <c r="AW337" s="76">
        <f t="shared" si="422"/>
        <v>620</v>
      </c>
      <c r="AX337" s="76">
        <f t="shared" si="422"/>
        <v>0</v>
      </c>
      <c r="AY337" s="75">
        <f t="shared" si="422"/>
        <v>-2</v>
      </c>
      <c r="AZ337" s="75">
        <f t="shared" si="422"/>
        <v>0</v>
      </c>
      <c r="BA337" s="75">
        <f t="shared" si="422"/>
        <v>0</v>
      </c>
      <c r="BB337" s="75">
        <f t="shared" si="422"/>
        <v>0</v>
      </c>
      <c r="BC337" s="75">
        <f t="shared" si="422"/>
        <v>0</v>
      </c>
      <c r="BD337" s="75">
        <f t="shared" si="422"/>
        <v>618</v>
      </c>
      <c r="BE337" s="75">
        <f t="shared" si="422"/>
        <v>0</v>
      </c>
      <c r="BF337" s="75">
        <f t="shared" si="422"/>
        <v>0</v>
      </c>
      <c r="BG337" s="75">
        <f t="shared" si="422"/>
        <v>0</v>
      </c>
      <c r="BH337" s="75">
        <f t="shared" si="422"/>
        <v>0</v>
      </c>
      <c r="BI337" s="75">
        <f t="shared" si="422"/>
        <v>618</v>
      </c>
      <c r="BJ337" s="75">
        <f t="shared" si="422"/>
        <v>0</v>
      </c>
      <c r="BK337" s="75">
        <f t="shared" si="422"/>
        <v>0</v>
      </c>
      <c r="BL337" s="75">
        <f t="shared" si="422"/>
        <v>0</v>
      </c>
      <c r="BM337" s="75">
        <f t="shared" si="422"/>
        <v>0</v>
      </c>
      <c r="BN337" s="75">
        <f t="shared" si="422"/>
        <v>0</v>
      </c>
      <c r="BO337" s="75">
        <f t="shared" si="422"/>
        <v>618</v>
      </c>
      <c r="BP337" s="75">
        <f t="shared" si="422"/>
        <v>0</v>
      </c>
      <c r="BQ337" s="75">
        <f t="shared" si="422"/>
        <v>0</v>
      </c>
      <c r="BR337" s="75"/>
      <c r="BS337" s="75">
        <f t="shared" si="422"/>
        <v>0</v>
      </c>
      <c r="BT337" s="75">
        <f t="shared" si="422"/>
        <v>0</v>
      </c>
      <c r="BU337" s="75">
        <f t="shared" si="422"/>
        <v>618</v>
      </c>
      <c r="BV337" s="75">
        <f t="shared" si="422"/>
        <v>0</v>
      </c>
      <c r="BW337" s="75">
        <f t="shared" si="422"/>
        <v>618</v>
      </c>
      <c r="BX337" s="75">
        <f t="shared" si="422"/>
        <v>0</v>
      </c>
      <c r="BY337" s="77">
        <f t="shared" si="349"/>
        <v>100</v>
      </c>
      <c r="BZ337" s="60"/>
    </row>
    <row r="338" spans="1:78" s="14" customFormat="1" ht="71.25" customHeight="1" hidden="1">
      <c r="A338" s="88" t="s">
        <v>138</v>
      </c>
      <c r="B338" s="89" t="s">
        <v>155</v>
      </c>
      <c r="C338" s="89" t="s">
        <v>151</v>
      </c>
      <c r="D338" s="90" t="s">
        <v>93</v>
      </c>
      <c r="E338" s="89" t="s">
        <v>139</v>
      </c>
      <c r="F338" s="91">
        <v>759</v>
      </c>
      <c r="G338" s="75">
        <f>H338-F338</f>
        <v>-139</v>
      </c>
      <c r="H338" s="93">
        <v>620</v>
      </c>
      <c r="I338" s="167"/>
      <c r="J338" s="167"/>
      <c r="K338" s="167"/>
      <c r="L338" s="167"/>
      <c r="M338" s="75">
        <f>H338+J338+K338+L338</f>
        <v>620</v>
      </c>
      <c r="N338" s="78">
        <f>I338+L338</f>
        <v>0</v>
      </c>
      <c r="O338" s="167"/>
      <c r="P338" s="167"/>
      <c r="Q338" s="79"/>
      <c r="R338" s="79"/>
      <c r="S338" s="75">
        <f>M338+O338+P338+Q338+R338</f>
        <v>620</v>
      </c>
      <c r="T338" s="75">
        <f>N338+R338</f>
        <v>0</v>
      </c>
      <c r="U338" s="79"/>
      <c r="V338" s="79"/>
      <c r="W338" s="79"/>
      <c r="X338" s="79"/>
      <c r="Y338" s="79"/>
      <c r="Z338" s="79"/>
      <c r="AA338" s="79"/>
      <c r="AB338" s="75">
        <f>S338+U338+V338+W338+X338+Y338+Z338+AA338</f>
        <v>620</v>
      </c>
      <c r="AC338" s="75">
        <f>T338+Z338+AA338</f>
        <v>0</v>
      </c>
      <c r="AD338" s="79"/>
      <c r="AE338" s="79"/>
      <c r="AF338" s="75"/>
      <c r="AG338" s="79"/>
      <c r="AH338" s="79"/>
      <c r="AI338" s="75">
        <f>AB338+AD338+AE338+AF338+AG338+AH338</f>
        <v>620</v>
      </c>
      <c r="AJ338" s="75">
        <f>AC338+AH338</f>
        <v>0</v>
      </c>
      <c r="AK338" s="79"/>
      <c r="AL338" s="75">
        <f>AI338+AK338</f>
        <v>620</v>
      </c>
      <c r="AM338" s="75">
        <f>AJ338</f>
        <v>0</v>
      </c>
      <c r="AN338" s="79"/>
      <c r="AO338" s="79"/>
      <c r="AP338" s="79"/>
      <c r="AQ338" s="79"/>
      <c r="AR338" s="75">
        <f>AL338+AN338+AO338+AP338+AQ338</f>
        <v>620</v>
      </c>
      <c r="AS338" s="75">
        <f>AM338+AQ338</f>
        <v>0</v>
      </c>
      <c r="AT338" s="81"/>
      <c r="AU338" s="81"/>
      <c r="AV338" s="81"/>
      <c r="AW338" s="76">
        <f>AV338+AU338+AT338+AR338</f>
        <v>620</v>
      </c>
      <c r="AX338" s="76">
        <f>AV338+AS338</f>
        <v>0</v>
      </c>
      <c r="AY338" s="75">
        <v>-2</v>
      </c>
      <c r="AZ338" s="75"/>
      <c r="BA338" s="75"/>
      <c r="BB338" s="75"/>
      <c r="BC338" s="75"/>
      <c r="BD338" s="75">
        <f>AW338+AY338+AZ338+BA338+BB338+BC338</f>
        <v>618</v>
      </c>
      <c r="BE338" s="75">
        <f>AX338+BC338</f>
        <v>0</v>
      </c>
      <c r="BF338" s="79"/>
      <c r="BG338" s="79"/>
      <c r="BH338" s="79"/>
      <c r="BI338" s="75">
        <f>BD338+BF338+BG338+BH338</f>
        <v>618</v>
      </c>
      <c r="BJ338" s="75">
        <f>BE338+BH338</f>
        <v>0</v>
      </c>
      <c r="BK338" s="78"/>
      <c r="BL338" s="78"/>
      <c r="BM338" s="78"/>
      <c r="BN338" s="78"/>
      <c r="BO338" s="75">
        <f>BI338+BK338+BL338+BM338+BN338</f>
        <v>618</v>
      </c>
      <c r="BP338" s="75">
        <f>BJ338+BN338</f>
        <v>0</v>
      </c>
      <c r="BQ338" s="79"/>
      <c r="BR338" s="79"/>
      <c r="BS338" s="79"/>
      <c r="BT338" s="79"/>
      <c r="BU338" s="75">
        <f>BO338+BQ338+BS338+BT338</f>
        <v>618</v>
      </c>
      <c r="BV338" s="75">
        <f>BP338+BT338</f>
        <v>0</v>
      </c>
      <c r="BW338" s="75">
        <f>617+1</f>
        <v>618</v>
      </c>
      <c r="BX338" s="75">
        <f>BR338+BV338</f>
        <v>0</v>
      </c>
      <c r="BY338" s="77">
        <f t="shared" si="349"/>
        <v>100</v>
      </c>
      <c r="BZ338" s="60"/>
    </row>
    <row r="339" spans="1:78" ht="12" customHeight="1">
      <c r="A339" s="110"/>
      <c r="B339" s="83"/>
      <c r="C339" s="83"/>
      <c r="D339" s="84"/>
      <c r="E339" s="83"/>
      <c r="F339" s="50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2"/>
      <c r="T339" s="52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2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3"/>
      <c r="AU339" s="53"/>
      <c r="AV339" s="53"/>
      <c r="AW339" s="53"/>
      <c r="AX339" s="53"/>
      <c r="AY339" s="52"/>
      <c r="AZ339" s="52"/>
      <c r="BA339" s="52"/>
      <c r="BB339" s="52"/>
      <c r="BC339" s="52"/>
      <c r="BD339" s="54"/>
      <c r="BE339" s="54"/>
      <c r="BF339" s="51"/>
      <c r="BG339" s="51"/>
      <c r="BH339" s="51"/>
      <c r="BI339" s="51"/>
      <c r="BJ339" s="51"/>
      <c r="BK339" s="54"/>
      <c r="BL339" s="54"/>
      <c r="BM339" s="54"/>
      <c r="BN339" s="54"/>
      <c r="BO339" s="54"/>
      <c r="BP339" s="54"/>
      <c r="BQ339" s="51"/>
      <c r="BR339" s="51"/>
      <c r="BS339" s="51"/>
      <c r="BT339" s="51"/>
      <c r="BU339" s="51"/>
      <c r="BV339" s="51"/>
      <c r="BW339" s="51"/>
      <c r="BX339" s="51"/>
      <c r="BY339" s="60"/>
      <c r="BZ339" s="60"/>
    </row>
    <row r="340" spans="1:78" s="10" customFormat="1" ht="62.25" customHeight="1">
      <c r="A340" s="55" t="s">
        <v>177</v>
      </c>
      <c r="B340" s="56" t="s">
        <v>96</v>
      </c>
      <c r="C340" s="56"/>
      <c r="D340" s="57"/>
      <c r="E340" s="56"/>
      <c r="F340" s="152">
        <f aca="true" t="shared" si="423" ref="F340:N340">F342+F355+F368+F375+F379+F390</f>
        <v>1204989</v>
      </c>
      <c r="G340" s="152">
        <f t="shared" si="423"/>
        <v>305368</v>
      </c>
      <c r="H340" s="152">
        <f t="shared" si="423"/>
        <v>1510357</v>
      </c>
      <c r="I340" s="152">
        <f t="shared" si="423"/>
        <v>169630</v>
      </c>
      <c r="J340" s="152">
        <f t="shared" si="423"/>
        <v>0</v>
      </c>
      <c r="K340" s="152">
        <f t="shared" si="423"/>
        <v>0</v>
      </c>
      <c r="L340" s="152">
        <f t="shared" si="423"/>
        <v>0</v>
      </c>
      <c r="M340" s="152">
        <f t="shared" si="423"/>
        <v>1510357</v>
      </c>
      <c r="N340" s="152">
        <f t="shared" si="423"/>
        <v>169630</v>
      </c>
      <c r="O340" s="152">
        <f aca="true" t="shared" si="424" ref="O340:T340">O342+O355+O368+O375+O379+O390</f>
        <v>0</v>
      </c>
      <c r="P340" s="152">
        <f t="shared" si="424"/>
        <v>0</v>
      </c>
      <c r="Q340" s="152">
        <f t="shared" si="424"/>
        <v>0</v>
      </c>
      <c r="R340" s="152">
        <f t="shared" si="424"/>
        <v>0</v>
      </c>
      <c r="S340" s="152">
        <f t="shared" si="424"/>
        <v>1510357</v>
      </c>
      <c r="T340" s="152">
        <f t="shared" si="424"/>
        <v>169630</v>
      </c>
      <c r="U340" s="152">
        <f aca="true" t="shared" si="425" ref="U340:AC340">U342+U355+U368+U375+U379+U390</f>
        <v>0</v>
      </c>
      <c r="V340" s="152">
        <f t="shared" si="425"/>
        <v>0</v>
      </c>
      <c r="W340" s="152">
        <f t="shared" si="425"/>
        <v>0</v>
      </c>
      <c r="X340" s="152">
        <f t="shared" si="425"/>
        <v>0</v>
      </c>
      <c r="Y340" s="152">
        <f t="shared" si="425"/>
        <v>0</v>
      </c>
      <c r="Z340" s="152">
        <f t="shared" si="425"/>
        <v>157</v>
      </c>
      <c r="AA340" s="152">
        <f t="shared" si="425"/>
        <v>-5157</v>
      </c>
      <c r="AB340" s="152">
        <f t="shared" si="425"/>
        <v>1505357</v>
      </c>
      <c r="AC340" s="152">
        <f t="shared" si="425"/>
        <v>164630</v>
      </c>
      <c r="AD340" s="152">
        <f aca="true" t="shared" si="426" ref="AD340:AJ340">AD342+AD355+AD368+AD375+AD379+AD390</f>
        <v>19</v>
      </c>
      <c r="AE340" s="152">
        <f t="shared" si="426"/>
        <v>15884</v>
      </c>
      <c r="AF340" s="152">
        <f t="shared" si="426"/>
        <v>-191897</v>
      </c>
      <c r="AG340" s="152">
        <f t="shared" si="426"/>
        <v>0</v>
      </c>
      <c r="AH340" s="152">
        <f t="shared" si="426"/>
        <v>0</v>
      </c>
      <c r="AI340" s="152">
        <f t="shared" si="426"/>
        <v>1329363</v>
      </c>
      <c r="AJ340" s="152">
        <f t="shared" si="426"/>
        <v>164630</v>
      </c>
      <c r="AK340" s="152">
        <f aca="true" t="shared" si="427" ref="AK340:AS340">AK342+AK355+AK368+AK375+AK379+AK390</f>
        <v>0</v>
      </c>
      <c r="AL340" s="152">
        <f t="shared" si="427"/>
        <v>1329363</v>
      </c>
      <c r="AM340" s="152">
        <f t="shared" si="427"/>
        <v>164630</v>
      </c>
      <c r="AN340" s="152">
        <f t="shared" si="427"/>
        <v>2198</v>
      </c>
      <c r="AO340" s="152">
        <f>AO342+AO355+AO368+AO375+AO379+AO390</f>
        <v>15257</v>
      </c>
      <c r="AP340" s="152">
        <f t="shared" si="427"/>
        <v>12</v>
      </c>
      <c r="AQ340" s="152">
        <f t="shared" si="427"/>
        <v>-69771</v>
      </c>
      <c r="AR340" s="152">
        <f t="shared" si="427"/>
        <v>1277059</v>
      </c>
      <c r="AS340" s="152">
        <f t="shared" si="427"/>
        <v>94859</v>
      </c>
      <c r="AT340" s="153">
        <f aca="true" t="shared" si="428" ref="AT340:BE340">AT342+AT355+AT368+AT375+AT379+AT390</f>
        <v>9369</v>
      </c>
      <c r="AU340" s="153">
        <f t="shared" si="428"/>
        <v>0</v>
      </c>
      <c r="AV340" s="153">
        <f t="shared" si="428"/>
        <v>0</v>
      </c>
      <c r="AW340" s="153">
        <f t="shared" si="428"/>
        <v>1286428</v>
      </c>
      <c r="AX340" s="153">
        <f t="shared" si="428"/>
        <v>94859</v>
      </c>
      <c r="AY340" s="152">
        <f t="shared" si="428"/>
        <v>-65129</v>
      </c>
      <c r="AZ340" s="152">
        <f t="shared" si="428"/>
        <v>3367</v>
      </c>
      <c r="BA340" s="152">
        <f>BA342+BA355+BA368+BA375+BA379+BA390</f>
        <v>0</v>
      </c>
      <c r="BB340" s="152">
        <f>BB342+BB355+BB368+BB375+BB379+BB390</f>
        <v>13333</v>
      </c>
      <c r="BC340" s="152">
        <f t="shared" si="428"/>
        <v>60</v>
      </c>
      <c r="BD340" s="152">
        <f t="shared" si="428"/>
        <v>1238059</v>
      </c>
      <c r="BE340" s="152">
        <f t="shared" si="428"/>
        <v>94919</v>
      </c>
      <c r="BF340" s="152">
        <f>BF342+BF355+BF368+BF375+BF379+BF390</f>
        <v>0</v>
      </c>
      <c r="BG340" s="152">
        <f>BG342+BG355+BG368+BG375+BG379+BG390</f>
        <v>0</v>
      </c>
      <c r="BH340" s="152">
        <f>BH342+BH355+BH368+BH375+BH379+BH390</f>
        <v>0</v>
      </c>
      <c r="BI340" s="152">
        <f>BI342+BI355+BI368+BI375+BI379+BI390</f>
        <v>1238059</v>
      </c>
      <c r="BJ340" s="152">
        <f>BJ342+BJ355+BJ368+BJ375+BJ379+BJ390</f>
        <v>94919</v>
      </c>
      <c r="BK340" s="152">
        <f aca="true" t="shared" si="429" ref="BK340:BP340">BK342+BK355+BK368+BK375+BK379+BK390</f>
        <v>3333</v>
      </c>
      <c r="BL340" s="152">
        <f t="shared" si="429"/>
        <v>7</v>
      </c>
      <c r="BM340" s="152">
        <f t="shared" si="429"/>
        <v>0</v>
      </c>
      <c r="BN340" s="152">
        <f t="shared" si="429"/>
        <v>0</v>
      </c>
      <c r="BO340" s="152">
        <f t="shared" si="429"/>
        <v>1241399</v>
      </c>
      <c r="BP340" s="152">
        <f t="shared" si="429"/>
        <v>94919</v>
      </c>
      <c r="BQ340" s="152">
        <f>BQ342+BQ355+BQ368+BQ375+BQ379+BQ390</f>
        <v>-3567</v>
      </c>
      <c r="BR340" s="152"/>
      <c r="BS340" s="152">
        <f aca="true" t="shared" si="430" ref="BS340:BX340">BS342+BS355+BS368+BS375+BS379+BS390</f>
        <v>2045</v>
      </c>
      <c r="BT340" s="152">
        <f t="shared" si="430"/>
        <v>610</v>
      </c>
      <c r="BU340" s="152">
        <f t="shared" si="430"/>
        <v>1240487</v>
      </c>
      <c r="BV340" s="152">
        <f t="shared" si="430"/>
        <v>95529</v>
      </c>
      <c r="BW340" s="152">
        <f t="shared" si="430"/>
        <v>1221871</v>
      </c>
      <c r="BX340" s="152">
        <f t="shared" si="430"/>
        <v>92887</v>
      </c>
      <c r="BY340" s="60">
        <f>BW340/BU340*100</f>
        <v>98.49929906560891</v>
      </c>
      <c r="BZ340" s="60">
        <f>BX340/BV340*100</f>
        <v>97.23434768499618</v>
      </c>
    </row>
    <row r="341" spans="1:78" ht="16.5" customHeight="1">
      <c r="A341" s="110"/>
      <c r="B341" s="83"/>
      <c r="C341" s="83"/>
      <c r="D341" s="84"/>
      <c r="E341" s="83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6"/>
      <c r="AU341" s="76"/>
      <c r="AV341" s="76"/>
      <c r="AW341" s="76"/>
      <c r="AX341" s="76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60"/>
      <c r="BZ341" s="60"/>
    </row>
    <row r="342" spans="1:78" s="12" customFormat="1" ht="22.5" customHeight="1">
      <c r="A342" s="66" t="s">
        <v>172</v>
      </c>
      <c r="B342" s="67" t="s">
        <v>148</v>
      </c>
      <c r="C342" s="67" t="s">
        <v>127</v>
      </c>
      <c r="D342" s="85"/>
      <c r="E342" s="67"/>
      <c r="F342" s="86">
        <f aca="true" t="shared" si="431" ref="F342:N342">F343+F345+F347</f>
        <v>444290</v>
      </c>
      <c r="G342" s="86">
        <f t="shared" si="431"/>
        <v>251673</v>
      </c>
      <c r="H342" s="86">
        <f t="shared" si="431"/>
        <v>695963</v>
      </c>
      <c r="I342" s="86">
        <f t="shared" si="431"/>
        <v>113038</v>
      </c>
      <c r="J342" s="86">
        <f t="shared" si="431"/>
        <v>0</v>
      </c>
      <c r="K342" s="86">
        <f t="shared" si="431"/>
        <v>0</v>
      </c>
      <c r="L342" s="86">
        <f t="shared" si="431"/>
        <v>0</v>
      </c>
      <c r="M342" s="86">
        <f t="shared" si="431"/>
        <v>695963</v>
      </c>
      <c r="N342" s="86">
        <f t="shared" si="431"/>
        <v>113038</v>
      </c>
      <c r="O342" s="86">
        <f aca="true" t="shared" si="432" ref="O342:T342">O343+O345+O347</f>
        <v>0</v>
      </c>
      <c r="P342" s="86">
        <f t="shared" si="432"/>
        <v>0</v>
      </c>
      <c r="Q342" s="86">
        <f t="shared" si="432"/>
        <v>0</v>
      </c>
      <c r="R342" s="86">
        <f t="shared" si="432"/>
        <v>0</v>
      </c>
      <c r="S342" s="86">
        <f t="shared" si="432"/>
        <v>695963</v>
      </c>
      <c r="T342" s="86">
        <f t="shared" si="432"/>
        <v>113038</v>
      </c>
      <c r="U342" s="86">
        <f aca="true" t="shared" si="433" ref="U342:AC342">U343+U345+U347</f>
        <v>0</v>
      </c>
      <c r="V342" s="86">
        <f t="shared" si="433"/>
        <v>0</v>
      </c>
      <c r="W342" s="86">
        <f t="shared" si="433"/>
        <v>0</v>
      </c>
      <c r="X342" s="86">
        <f t="shared" si="433"/>
        <v>0</v>
      </c>
      <c r="Y342" s="86">
        <f t="shared" si="433"/>
        <v>0</v>
      </c>
      <c r="Z342" s="86">
        <f t="shared" si="433"/>
        <v>0</v>
      </c>
      <c r="AA342" s="86">
        <f t="shared" si="433"/>
        <v>-1373</v>
      </c>
      <c r="AB342" s="86">
        <f t="shared" si="433"/>
        <v>694590</v>
      </c>
      <c r="AC342" s="86">
        <f t="shared" si="433"/>
        <v>111665</v>
      </c>
      <c r="AD342" s="86">
        <f aca="true" t="shared" si="434" ref="AD342:AJ342">AD343+AD345+AD347</f>
        <v>12</v>
      </c>
      <c r="AE342" s="86">
        <f t="shared" si="434"/>
        <v>12287</v>
      </c>
      <c r="AF342" s="86">
        <f t="shared" si="434"/>
        <v>-101020</v>
      </c>
      <c r="AG342" s="86">
        <f t="shared" si="434"/>
        <v>0</v>
      </c>
      <c r="AH342" s="86">
        <f t="shared" si="434"/>
        <v>0</v>
      </c>
      <c r="AI342" s="86">
        <f t="shared" si="434"/>
        <v>605869</v>
      </c>
      <c r="AJ342" s="86">
        <f t="shared" si="434"/>
        <v>111665</v>
      </c>
      <c r="AK342" s="86">
        <f aca="true" t="shared" si="435" ref="AK342:AS342">AK343+AK345+AK347</f>
        <v>0</v>
      </c>
      <c r="AL342" s="86">
        <f t="shared" si="435"/>
        <v>605869</v>
      </c>
      <c r="AM342" s="86">
        <f t="shared" si="435"/>
        <v>111665</v>
      </c>
      <c r="AN342" s="86">
        <f t="shared" si="435"/>
        <v>0</v>
      </c>
      <c r="AO342" s="86">
        <f>AO343+AO345+AO347</f>
        <v>11876</v>
      </c>
      <c r="AP342" s="86">
        <f t="shared" si="435"/>
        <v>10</v>
      </c>
      <c r="AQ342" s="86">
        <f t="shared" si="435"/>
        <v>-92205</v>
      </c>
      <c r="AR342" s="86">
        <f t="shared" si="435"/>
        <v>525550</v>
      </c>
      <c r="AS342" s="86">
        <f t="shared" si="435"/>
        <v>19460</v>
      </c>
      <c r="AT342" s="87">
        <f aca="true" t="shared" si="436" ref="AT342:BE342">AT343+AT345+AT347</f>
        <v>11946</v>
      </c>
      <c r="AU342" s="87">
        <f t="shared" si="436"/>
        <v>0</v>
      </c>
      <c r="AV342" s="87">
        <f t="shared" si="436"/>
        <v>0</v>
      </c>
      <c r="AW342" s="87">
        <f t="shared" si="436"/>
        <v>537496</v>
      </c>
      <c r="AX342" s="87">
        <f t="shared" si="436"/>
        <v>19460</v>
      </c>
      <c r="AY342" s="86">
        <f t="shared" si="436"/>
        <v>-15589</v>
      </c>
      <c r="AZ342" s="86">
        <f t="shared" si="436"/>
        <v>0</v>
      </c>
      <c r="BA342" s="86">
        <f>BA343+BA345+BA347</f>
        <v>0</v>
      </c>
      <c r="BB342" s="86">
        <f>BB343+BB345+BB347</f>
        <v>0</v>
      </c>
      <c r="BC342" s="86">
        <f t="shared" si="436"/>
        <v>0</v>
      </c>
      <c r="BD342" s="86">
        <f t="shared" si="436"/>
        <v>521907</v>
      </c>
      <c r="BE342" s="86">
        <f t="shared" si="436"/>
        <v>19460</v>
      </c>
      <c r="BF342" s="86">
        <f>BF343+BF345+BF347</f>
        <v>0</v>
      </c>
      <c r="BG342" s="86">
        <f>BG343+BG345+BG347</f>
        <v>0</v>
      </c>
      <c r="BH342" s="86">
        <f>BH343+BH345+BH347</f>
        <v>0</v>
      </c>
      <c r="BI342" s="86">
        <f>BI343+BI345+BI347</f>
        <v>521907</v>
      </c>
      <c r="BJ342" s="86">
        <f>BJ343+BJ345+BJ347</f>
        <v>19460</v>
      </c>
      <c r="BK342" s="86">
        <f aca="true" t="shared" si="437" ref="BK342:BP342">BK343+BK345+BK347</f>
        <v>2330</v>
      </c>
      <c r="BL342" s="86">
        <f t="shared" si="437"/>
        <v>6</v>
      </c>
      <c r="BM342" s="86">
        <f t="shared" si="437"/>
        <v>0</v>
      </c>
      <c r="BN342" s="86">
        <f t="shared" si="437"/>
        <v>0</v>
      </c>
      <c r="BO342" s="86">
        <f t="shared" si="437"/>
        <v>524243</v>
      </c>
      <c r="BP342" s="86">
        <f t="shared" si="437"/>
        <v>19460</v>
      </c>
      <c r="BQ342" s="86">
        <f>BQ343+BQ345+BQ347</f>
        <v>-369</v>
      </c>
      <c r="BR342" s="86"/>
      <c r="BS342" s="86">
        <f aca="true" t="shared" si="438" ref="BS342:BX342">BS343+BS345+BS347</f>
        <v>1698</v>
      </c>
      <c r="BT342" s="86">
        <f t="shared" si="438"/>
        <v>0</v>
      </c>
      <c r="BU342" s="86">
        <f t="shared" si="438"/>
        <v>525572</v>
      </c>
      <c r="BV342" s="86">
        <f t="shared" si="438"/>
        <v>19460</v>
      </c>
      <c r="BW342" s="86">
        <f t="shared" si="438"/>
        <v>532394</v>
      </c>
      <c r="BX342" s="86">
        <f t="shared" si="438"/>
        <v>18461</v>
      </c>
      <c r="BY342" s="71">
        <f>BW342/BU342*100</f>
        <v>101.2980143538849</v>
      </c>
      <c r="BZ342" s="71">
        <f>BX342/BV342*100</f>
        <v>94.86639260020556</v>
      </c>
    </row>
    <row r="343" spans="1:78" s="12" customFormat="1" ht="54.75" customHeight="1" hidden="1">
      <c r="A343" s="88" t="s">
        <v>152</v>
      </c>
      <c r="B343" s="89" t="s">
        <v>148</v>
      </c>
      <c r="C343" s="89" t="s">
        <v>127</v>
      </c>
      <c r="D343" s="90" t="s">
        <v>39</v>
      </c>
      <c r="E343" s="89"/>
      <c r="F343" s="91">
        <f aca="true" t="shared" si="439" ref="F343:BQ343">F344</f>
        <v>4958</v>
      </c>
      <c r="G343" s="91">
        <f t="shared" si="439"/>
        <v>1416</v>
      </c>
      <c r="H343" s="91">
        <f t="shared" si="439"/>
        <v>6374</v>
      </c>
      <c r="I343" s="91">
        <f t="shared" si="439"/>
        <v>0</v>
      </c>
      <c r="J343" s="91">
        <f t="shared" si="439"/>
        <v>0</v>
      </c>
      <c r="K343" s="91">
        <f t="shared" si="439"/>
        <v>0</v>
      </c>
      <c r="L343" s="91">
        <f t="shared" si="439"/>
        <v>0</v>
      </c>
      <c r="M343" s="91">
        <f t="shared" si="439"/>
        <v>6374</v>
      </c>
      <c r="N343" s="91">
        <f t="shared" si="439"/>
        <v>0</v>
      </c>
      <c r="O343" s="91">
        <f t="shared" si="439"/>
        <v>0</v>
      </c>
      <c r="P343" s="91">
        <f t="shared" si="439"/>
        <v>0</v>
      </c>
      <c r="Q343" s="91">
        <f t="shared" si="439"/>
        <v>0</v>
      </c>
      <c r="R343" s="91">
        <f t="shared" si="439"/>
        <v>0</v>
      </c>
      <c r="S343" s="91">
        <f t="shared" si="439"/>
        <v>6374</v>
      </c>
      <c r="T343" s="91">
        <f t="shared" si="439"/>
        <v>0</v>
      </c>
      <c r="U343" s="91">
        <f t="shared" si="439"/>
        <v>0</v>
      </c>
      <c r="V343" s="91">
        <f t="shared" si="439"/>
        <v>0</v>
      </c>
      <c r="W343" s="91">
        <f t="shared" si="439"/>
        <v>0</v>
      </c>
      <c r="X343" s="91">
        <f t="shared" si="439"/>
        <v>0</v>
      </c>
      <c r="Y343" s="91">
        <f t="shared" si="439"/>
        <v>0</v>
      </c>
      <c r="Z343" s="91">
        <f t="shared" si="439"/>
        <v>0</v>
      </c>
      <c r="AA343" s="91">
        <f t="shared" si="439"/>
        <v>0</v>
      </c>
      <c r="AB343" s="91">
        <f t="shared" si="439"/>
        <v>6374</v>
      </c>
      <c r="AC343" s="91">
        <f t="shared" si="439"/>
        <v>0</v>
      </c>
      <c r="AD343" s="91">
        <f t="shared" si="439"/>
        <v>0</v>
      </c>
      <c r="AE343" s="91">
        <f t="shared" si="439"/>
        <v>0</v>
      </c>
      <c r="AF343" s="91">
        <f t="shared" si="439"/>
        <v>10626</v>
      </c>
      <c r="AG343" s="91">
        <f t="shared" si="439"/>
        <v>0</v>
      </c>
      <c r="AH343" s="91">
        <f t="shared" si="439"/>
        <v>0</v>
      </c>
      <c r="AI343" s="91">
        <f t="shared" si="439"/>
        <v>17000</v>
      </c>
      <c r="AJ343" s="91">
        <f t="shared" si="439"/>
        <v>0</v>
      </c>
      <c r="AK343" s="91">
        <f t="shared" si="439"/>
        <v>0</v>
      </c>
      <c r="AL343" s="91">
        <f t="shared" si="439"/>
        <v>17000</v>
      </c>
      <c r="AM343" s="91">
        <f t="shared" si="439"/>
        <v>0</v>
      </c>
      <c r="AN343" s="91">
        <f t="shared" si="439"/>
        <v>0</v>
      </c>
      <c r="AO343" s="91">
        <f t="shared" si="439"/>
        <v>0</v>
      </c>
      <c r="AP343" s="91">
        <f t="shared" si="439"/>
        <v>0</v>
      </c>
      <c r="AQ343" s="91">
        <f t="shared" si="439"/>
        <v>0</v>
      </c>
      <c r="AR343" s="91">
        <f t="shared" si="439"/>
        <v>17000</v>
      </c>
      <c r="AS343" s="91">
        <f t="shared" si="439"/>
        <v>0</v>
      </c>
      <c r="AT343" s="92">
        <f t="shared" si="439"/>
        <v>11946</v>
      </c>
      <c r="AU343" s="92">
        <f t="shared" si="439"/>
        <v>0</v>
      </c>
      <c r="AV343" s="92">
        <f t="shared" si="439"/>
        <v>0</v>
      </c>
      <c r="AW343" s="92">
        <f t="shared" si="439"/>
        <v>28946</v>
      </c>
      <c r="AX343" s="92">
        <f t="shared" si="439"/>
        <v>0</v>
      </c>
      <c r="AY343" s="91">
        <f t="shared" si="439"/>
        <v>0</v>
      </c>
      <c r="AZ343" s="91">
        <f t="shared" si="439"/>
        <v>0</v>
      </c>
      <c r="BA343" s="91">
        <f t="shared" si="439"/>
        <v>0</v>
      </c>
      <c r="BB343" s="91">
        <f t="shared" si="439"/>
        <v>0</v>
      </c>
      <c r="BC343" s="91">
        <f t="shared" si="439"/>
        <v>0</v>
      </c>
      <c r="BD343" s="91">
        <f t="shared" si="439"/>
        <v>28946</v>
      </c>
      <c r="BE343" s="91">
        <f t="shared" si="439"/>
        <v>0</v>
      </c>
      <c r="BF343" s="91">
        <f t="shared" si="439"/>
        <v>0</v>
      </c>
      <c r="BG343" s="91">
        <f t="shared" si="439"/>
        <v>0</v>
      </c>
      <c r="BH343" s="91">
        <f t="shared" si="439"/>
        <v>0</v>
      </c>
      <c r="BI343" s="91">
        <f t="shared" si="439"/>
        <v>28946</v>
      </c>
      <c r="BJ343" s="91">
        <f t="shared" si="439"/>
        <v>0</v>
      </c>
      <c r="BK343" s="91">
        <f t="shared" si="439"/>
        <v>0</v>
      </c>
      <c r="BL343" s="91">
        <f t="shared" si="439"/>
        <v>0</v>
      </c>
      <c r="BM343" s="91">
        <f t="shared" si="439"/>
        <v>0</v>
      </c>
      <c r="BN343" s="91">
        <f t="shared" si="439"/>
        <v>0</v>
      </c>
      <c r="BO343" s="91">
        <f t="shared" si="439"/>
        <v>28946</v>
      </c>
      <c r="BP343" s="91">
        <f t="shared" si="439"/>
        <v>0</v>
      </c>
      <c r="BQ343" s="91">
        <f t="shared" si="439"/>
        <v>-1</v>
      </c>
      <c r="BR343" s="91"/>
      <c r="BS343" s="91">
        <f aca="true" t="shared" si="440" ref="BS343:BX343">BS344</f>
        <v>-291</v>
      </c>
      <c r="BT343" s="91">
        <f t="shared" si="440"/>
        <v>0</v>
      </c>
      <c r="BU343" s="91">
        <f t="shared" si="440"/>
        <v>28654</v>
      </c>
      <c r="BV343" s="91">
        <f t="shared" si="440"/>
        <v>0</v>
      </c>
      <c r="BW343" s="91">
        <f t="shared" si="440"/>
        <v>28637</v>
      </c>
      <c r="BX343" s="91">
        <f t="shared" si="440"/>
        <v>0</v>
      </c>
      <c r="BY343" s="77">
        <f aca="true" t="shared" si="441" ref="BY343:BY353">BW343/BU343*100</f>
        <v>99.9406714594821</v>
      </c>
      <c r="BZ343" s="72"/>
    </row>
    <row r="344" spans="1:78" s="12" customFormat="1" ht="98.25" customHeight="1" hidden="1">
      <c r="A344" s="88" t="s">
        <v>360</v>
      </c>
      <c r="B344" s="89" t="s">
        <v>148</v>
      </c>
      <c r="C344" s="89" t="s">
        <v>127</v>
      </c>
      <c r="D344" s="90" t="s">
        <v>39</v>
      </c>
      <c r="E344" s="89" t="s">
        <v>153</v>
      </c>
      <c r="F344" s="91">
        <v>4958</v>
      </c>
      <c r="G344" s="75">
        <f>H344-F344</f>
        <v>1416</v>
      </c>
      <c r="H344" s="75">
        <v>6374</v>
      </c>
      <c r="I344" s="109"/>
      <c r="J344" s="109"/>
      <c r="K344" s="109"/>
      <c r="L344" s="109"/>
      <c r="M344" s="75">
        <f>H344+J344+K344+L344</f>
        <v>6374</v>
      </c>
      <c r="N344" s="78">
        <f>I344+L344</f>
        <v>0</v>
      </c>
      <c r="O344" s="109"/>
      <c r="P344" s="109"/>
      <c r="Q344" s="106"/>
      <c r="R344" s="106"/>
      <c r="S344" s="75">
        <f>M344+O344+P344+Q344+R344</f>
        <v>6374</v>
      </c>
      <c r="T344" s="75">
        <f>N344+R344</f>
        <v>0</v>
      </c>
      <c r="U344" s="106"/>
      <c r="V344" s="106"/>
      <c r="W344" s="106"/>
      <c r="X344" s="106"/>
      <c r="Y344" s="106"/>
      <c r="Z344" s="106"/>
      <c r="AA344" s="106"/>
      <c r="AB344" s="75">
        <f>S344+U344+V344+W344+X344+Y344+Z344+AA344</f>
        <v>6374</v>
      </c>
      <c r="AC344" s="75">
        <f>T344+Z344+AA344</f>
        <v>0</v>
      </c>
      <c r="AD344" s="106"/>
      <c r="AE344" s="106"/>
      <c r="AF344" s="75">
        <v>10626</v>
      </c>
      <c r="AG344" s="106"/>
      <c r="AH344" s="106"/>
      <c r="AI344" s="75">
        <f>AB344+AD344+AE344+AF344+AG344+AH344</f>
        <v>17000</v>
      </c>
      <c r="AJ344" s="75">
        <f>AC344+AH344</f>
        <v>0</v>
      </c>
      <c r="AK344" s="106"/>
      <c r="AL344" s="75">
        <f>AI344+AK344</f>
        <v>17000</v>
      </c>
      <c r="AM344" s="75">
        <f>AJ344</f>
        <v>0</v>
      </c>
      <c r="AN344" s="106"/>
      <c r="AO344" s="106"/>
      <c r="AP344" s="106"/>
      <c r="AQ344" s="106"/>
      <c r="AR344" s="75">
        <f>AL344+AN344+AO344+AP344+AQ344</f>
        <v>17000</v>
      </c>
      <c r="AS344" s="75">
        <f>AM344+AQ344</f>
        <v>0</v>
      </c>
      <c r="AT344" s="81">
        <v>11946</v>
      </c>
      <c r="AU344" s="81"/>
      <c r="AV344" s="81"/>
      <c r="AW344" s="76">
        <f>AV344+AU344+AT344+AR344</f>
        <v>28946</v>
      </c>
      <c r="AX344" s="76">
        <f>AV344+AS344</f>
        <v>0</v>
      </c>
      <c r="AY344" s="69"/>
      <c r="AZ344" s="69"/>
      <c r="BA344" s="69"/>
      <c r="BB344" s="69"/>
      <c r="BC344" s="69"/>
      <c r="BD344" s="75">
        <f>AW344+AY344+AZ344+BA344+BB344+BC344</f>
        <v>28946</v>
      </c>
      <c r="BE344" s="75">
        <f>AX344+BC344</f>
        <v>0</v>
      </c>
      <c r="BF344" s="106"/>
      <c r="BG344" s="106"/>
      <c r="BH344" s="106"/>
      <c r="BI344" s="75">
        <f>BD344+BF344+BG344+BH344</f>
        <v>28946</v>
      </c>
      <c r="BJ344" s="75">
        <f>BE344+BH344</f>
        <v>0</v>
      </c>
      <c r="BK344" s="109"/>
      <c r="BL344" s="109"/>
      <c r="BM344" s="109"/>
      <c r="BN344" s="109"/>
      <c r="BO344" s="75">
        <f>BI344+BK344+BL344+BM344+BN344</f>
        <v>28946</v>
      </c>
      <c r="BP344" s="75">
        <f>BJ344+BN344</f>
        <v>0</v>
      </c>
      <c r="BQ344" s="78">
        <v>-1</v>
      </c>
      <c r="BR344" s="78"/>
      <c r="BS344" s="78">
        <v>-291</v>
      </c>
      <c r="BT344" s="106"/>
      <c r="BU344" s="75">
        <f>BO344+BQ344+BS344+BT344</f>
        <v>28654</v>
      </c>
      <c r="BV344" s="75">
        <f>BP344+BT344</f>
        <v>0</v>
      </c>
      <c r="BW344" s="75">
        <v>28637</v>
      </c>
      <c r="BX344" s="75">
        <f>BR344+BV344</f>
        <v>0</v>
      </c>
      <c r="BY344" s="77">
        <f t="shared" si="441"/>
        <v>99.9406714594821</v>
      </c>
      <c r="BZ344" s="72"/>
    </row>
    <row r="345" spans="1:78" s="14" customFormat="1" ht="33" hidden="1">
      <c r="A345" s="88" t="s">
        <v>405</v>
      </c>
      <c r="B345" s="89" t="s">
        <v>148</v>
      </c>
      <c r="C345" s="89" t="s">
        <v>127</v>
      </c>
      <c r="D345" s="90" t="s">
        <v>99</v>
      </c>
      <c r="E345" s="89"/>
      <c r="F345" s="91">
        <f aca="true" t="shared" si="442" ref="F345:BQ345">F346</f>
        <v>439332</v>
      </c>
      <c r="G345" s="91">
        <f t="shared" si="442"/>
        <v>248884</v>
      </c>
      <c r="H345" s="91">
        <f t="shared" si="442"/>
        <v>688216</v>
      </c>
      <c r="I345" s="91">
        <f t="shared" si="442"/>
        <v>111665</v>
      </c>
      <c r="J345" s="91">
        <f t="shared" si="442"/>
        <v>0</v>
      </c>
      <c r="K345" s="91">
        <f t="shared" si="442"/>
        <v>0</v>
      </c>
      <c r="L345" s="91">
        <f t="shared" si="442"/>
        <v>0</v>
      </c>
      <c r="M345" s="91">
        <f t="shared" si="442"/>
        <v>688216</v>
      </c>
      <c r="N345" s="91">
        <f t="shared" si="442"/>
        <v>111665</v>
      </c>
      <c r="O345" s="91">
        <f t="shared" si="442"/>
        <v>0</v>
      </c>
      <c r="P345" s="91">
        <f t="shared" si="442"/>
        <v>0</v>
      </c>
      <c r="Q345" s="91">
        <f t="shared" si="442"/>
        <v>0</v>
      </c>
      <c r="R345" s="91">
        <f t="shared" si="442"/>
        <v>0</v>
      </c>
      <c r="S345" s="91">
        <f t="shared" si="442"/>
        <v>688216</v>
      </c>
      <c r="T345" s="91">
        <f t="shared" si="442"/>
        <v>111665</v>
      </c>
      <c r="U345" s="91">
        <f t="shared" si="442"/>
        <v>0</v>
      </c>
      <c r="V345" s="91">
        <f t="shared" si="442"/>
        <v>0</v>
      </c>
      <c r="W345" s="91">
        <f t="shared" si="442"/>
        <v>0</v>
      </c>
      <c r="X345" s="91">
        <f t="shared" si="442"/>
        <v>0</v>
      </c>
      <c r="Y345" s="91">
        <f t="shared" si="442"/>
        <v>0</v>
      </c>
      <c r="Z345" s="91">
        <f t="shared" si="442"/>
        <v>0</v>
      </c>
      <c r="AA345" s="91">
        <f t="shared" si="442"/>
        <v>0</v>
      </c>
      <c r="AB345" s="91">
        <f t="shared" si="442"/>
        <v>688216</v>
      </c>
      <c r="AC345" s="91">
        <f t="shared" si="442"/>
        <v>111665</v>
      </c>
      <c r="AD345" s="91">
        <f t="shared" si="442"/>
        <v>12</v>
      </c>
      <c r="AE345" s="91">
        <f t="shared" si="442"/>
        <v>12287</v>
      </c>
      <c r="AF345" s="91">
        <f t="shared" si="442"/>
        <v>-111646</v>
      </c>
      <c r="AG345" s="91">
        <f t="shared" si="442"/>
        <v>0</v>
      </c>
      <c r="AH345" s="91">
        <f t="shared" si="442"/>
        <v>0</v>
      </c>
      <c r="AI345" s="91">
        <f t="shared" si="442"/>
        <v>588869</v>
      </c>
      <c r="AJ345" s="91">
        <f t="shared" si="442"/>
        <v>111665</v>
      </c>
      <c r="AK345" s="91">
        <f t="shared" si="442"/>
        <v>0</v>
      </c>
      <c r="AL345" s="91">
        <f t="shared" si="442"/>
        <v>588869</v>
      </c>
      <c r="AM345" s="91">
        <f t="shared" si="442"/>
        <v>111665</v>
      </c>
      <c r="AN345" s="91">
        <f t="shared" si="442"/>
        <v>0</v>
      </c>
      <c r="AO345" s="91">
        <f t="shared" si="442"/>
        <v>11876</v>
      </c>
      <c r="AP345" s="91">
        <f t="shared" si="442"/>
        <v>10</v>
      </c>
      <c r="AQ345" s="91">
        <f t="shared" si="442"/>
        <v>-92205</v>
      </c>
      <c r="AR345" s="91">
        <f t="shared" si="442"/>
        <v>508550</v>
      </c>
      <c r="AS345" s="91">
        <f t="shared" si="442"/>
        <v>19460</v>
      </c>
      <c r="AT345" s="92">
        <f t="shared" si="442"/>
        <v>0</v>
      </c>
      <c r="AU345" s="92">
        <f t="shared" si="442"/>
        <v>0</v>
      </c>
      <c r="AV345" s="92">
        <f t="shared" si="442"/>
        <v>0</v>
      </c>
      <c r="AW345" s="92">
        <f t="shared" si="442"/>
        <v>508550</v>
      </c>
      <c r="AX345" s="92">
        <f t="shared" si="442"/>
        <v>19460</v>
      </c>
      <c r="AY345" s="91">
        <f t="shared" si="442"/>
        <v>-15589</v>
      </c>
      <c r="AZ345" s="91">
        <f t="shared" si="442"/>
        <v>0</v>
      </c>
      <c r="BA345" s="91">
        <f t="shared" si="442"/>
        <v>0</v>
      </c>
      <c r="BB345" s="91">
        <f t="shared" si="442"/>
        <v>0</v>
      </c>
      <c r="BC345" s="91">
        <f t="shared" si="442"/>
        <v>0</v>
      </c>
      <c r="BD345" s="91">
        <f t="shared" si="442"/>
        <v>492961</v>
      </c>
      <c r="BE345" s="91">
        <f t="shared" si="442"/>
        <v>19460</v>
      </c>
      <c r="BF345" s="91">
        <f t="shared" si="442"/>
        <v>0</v>
      </c>
      <c r="BG345" s="91">
        <f t="shared" si="442"/>
        <v>0</v>
      </c>
      <c r="BH345" s="91">
        <f t="shared" si="442"/>
        <v>0</v>
      </c>
      <c r="BI345" s="91">
        <f t="shared" si="442"/>
        <v>492961</v>
      </c>
      <c r="BJ345" s="91">
        <f t="shared" si="442"/>
        <v>19460</v>
      </c>
      <c r="BK345" s="91">
        <f t="shared" si="442"/>
        <v>2330</v>
      </c>
      <c r="BL345" s="91">
        <f t="shared" si="442"/>
        <v>6</v>
      </c>
      <c r="BM345" s="91">
        <f t="shared" si="442"/>
        <v>0</v>
      </c>
      <c r="BN345" s="91">
        <f t="shared" si="442"/>
        <v>0</v>
      </c>
      <c r="BO345" s="91">
        <f t="shared" si="442"/>
        <v>495297</v>
      </c>
      <c r="BP345" s="91">
        <f t="shared" si="442"/>
        <v>19460</v>
      </c>
      <c r="BQ345" s="91">
        <f t="shared" si="442"/>
        <v>-368</v>
      </c>
      <c r="BR345" s="91"/>
      <c r="BS345" s="91">
        <f aca="true" t="shared" si="443" ref="BS345:BX345">BS346</f>
        <v>1989</v>
      </c>
      <c r="BT345" s="91">
        <f t="shared" si="443"/>
        <v>0</v>
      </c>
      <c r="BU345" s="91">
        <f t="shared" si="443"/>
        <v>496918</v>
      </c>
      <c r="BV345" s="91">
        <f t="shared" si="443"/>
        <v>19460</v>
      </c>
      <c r="BW345" s="91">
        <f t="shared" si="443"/>
        <v>503757</v>
      </c>
      <c r="BX345" s="91">
        <f t="shared" si="443"/>
        <v>18461</v>
      </c>
      <c r="BY345" s="77">
        <f t="shared" si="441"/>
        <v>101.37628341094506</v>
      </c>
      <c r="BZ345" s="77">
        <f aca="true" t="shared" si="444" ref="BZ345:BZ353">BX345/BV345*100</f>
        <v>94.86639260020556</v>
      </c>
    </row>
    <row r="346" spans="1:78" s="14" customFormat="1" ht="39" customHeight="1" hidden="1">
      <c r="A346" s="88" t="s">
        <v>129</v>
      </c>
      <c r="B346" s="89" t="s">
        <v>148</v>
      </c>
      <c r="C346" s="89" t="s">
        <v>127</v>
      </c>
      <c r="D346" s="90" t="s">
        <v>99</v>
      </c>
      <c r="E346" s="89" t="s">
        <v>130</v>
      </c>
      <c r="F346" s="75">
        <v>439332</v>
      </c>
      <c r="G346" s="75">
        <f>H346-F346</f>
        <v>248884</v>
      </c>
      <c r="H346" s="75">
        <v>688216</v>
      </c>
      <c r="I346" s="75">
        <v>111665</v>
      </c>
      <c r="J346" s="78"/>
      <c r="K346" s="78"/>
      <c r="L346" s="78"/>
      <c r="M346" s="75">
        <f>H346+J346+K346+L346</f>
        <v>688216</v>
      </c>
      <c r="N346" s="75">
        <f>I346+L346</f>
        <v>111665</v>
      </c>
      <c r="O346" s="78"/>
      <c r="P346" s="75"/>
      <c r="Q346" s="75"/>
      <c r="R346" s="79"/>
      <c r="S346" s="75">
        <f>M346+O346+P346+Q346+R346</f>
        <v>688216</v>
      </c>
      <c r="T346" s="75">
        <f>N346+R346</f>
        <v>111665</v>
      </c>
      <c r="U346" s="75"/>
      <c r="V346" s="75"/>
      <c r="W346" s="79"/>
      <c r="X346" s="79"/>
      <c r="Y346" s="79"/>
      <c r="Z346" s="79"/>
      <c r="AA346" s="79"/>
      <c r="AB346" s="75">
        <f>S346+U346+V346+W346+X346+Y346+Z346+AA346</f>
        <v>688216</v>
      </c>
      <c r="AC346" s="75">
        <f>T346+Z346+AA346</f>
        <v>111665</v>
      </c>
      <c r="AD346" s="75">
        <v>12</v>
      </c>
      <c r="AE346" s="75">
        <f>10642+1645</f>
        <v>12287</v>
      </c>
      <c r="AF346" s="75">
        <v>-111646</v>
      </c>
      <c r="AG346" s="75"/>
      <c r="AH346" s="75"/>
      <c r="AI346" s="75">
        <f>AB346+AD346+AE346+AF346+AG346+AH346</f>
        <v>588869</v>
      </c>
      <c r="AJ346" s="75">
        <f>AC346+AH346</f>
        <v>111665</v>
      </c>
      <c r="AK346" s="79"/>
      <c r="AL346" s="75">
        <f>AI346+AK346</f>
        <v>588869</v>
      </c>
      <c r="AM346" s="75">
        <f>AJ346</f>
        <v>111665</v>
      </c>
      <c r="AN346" s="79"/>
      <c r="AO346" s="75">
        <v>11876</v>
      </c>
      <c r="AP346" s="75">
        <v>10</v>
      </c>
      <c r="AQ346" s="75">
        <v>-92205</v>
      </c>
      <c r="AR346" s="75">
        <f>AL346+AN346+AO346+AP346+AQ346</f>
        <v>508550</v>
      </c>
      <c r="AS346" s="75">
        <f>AM346+AQ346</f>
        <v>19460</v>
      </c>
      <c r="AT346" s="76"/>
      <c r="AU346" s="76"/>
      <c r="AV346" s="76"/>
      <c r="AW346" s="76">
        <f>AV346+AU346+AT346+AR346</f>
        <v>508550</v>
      </c>
      <c r="AX346" s="76">
        <f>AV346+AS346</f>
        <v>19460</v>
      </c>
      <c r="AY346" s="75">
        <v>-15589</v>
      </c>
      <c r="AZ346" s="75"/>
      <c r="BA346" s="75"/>
      <c r="BB346" s="75"/>
      <c r="BC346" s="75"/>
      <c r="BD346" s="75">
        <f>AW346+AY346+AZ346+BA346+BB346+BC346</f>
        <v>492961</v>
      </c>
      <c r="BE346" s="75">
        <v>19460</v>
      </c>
      <c r="BF346" s="79"/>
      <c r="BG346" s="79"/>
      <c r="BH346" s="79"/>
      <c r="BI346" s="75">
        <f>BD346+BF346+BG346+BH346</f>
        <v>492961</v>
      </c>
      <c r="BJ346" s="75">
        <f>BE346+BH346</f>
        <v>19460</v>
      </c>
      <c r="BK346" s="75">
        <v>2330</v>
      </c>
      <c r="BL346" s="78">
        <v>6</v>
      </c>
      <c r="BM346" s="78"/>
      <c r="BN346" s="78"/>
      <c r="BO346" s="75">
        <f>BI346+BK346+BL346+BM346+BN346</f>
        <v>495297</v>
      </c>
      <c r="BP346" s="75">
        <f>BJ346+BN346</f>
        <v>19460</v>
      </c>
      <c r="BQ346" s="78">
        <v>-368</v>
      </c>
      <c r="BR346" s="78"/>
      <c r="BS346" s="75">
        <f>349+1640</f>
        <v>1989</v>
      </c>
      <c r="BT346" s="79"/>
      <c r="BU346" s="75">
        <f>BO346+BQ346+BS346+BT346</f>
        <v>496918</v>
      </c>
      <c r="BV346" s="75">
        <f>BP346+BT346</f>
        <v>19460</v>
      </c>
      <c r="BW346" s="75">
        <v>503757</v>
      </c>
      <c r="BX346" s="75">
        <v>18461</v>
      </c>
      <c r="BY346" s="77">
        <f t="shared" si="441"/>
        <v>101.37628341094506</v>
      </c>
      <c r="BZ346" s="77">
        <f t="shared" si="444"/>
        <v>94.86639260020556</v>
      </c>
    </row>
    <row r="347" spans="1:78" s="25" customFormat="1" ht="25.5" customHeight="1" hidden="1">
      <c r="A347" s="168" t="s">
        <v>9</v>
      </c>
      <c r="B347" s="169" t="s">
        <v>148</v>
      </c>
      <c r="C347" s="169" t="s">
        <v>127</v>
      </c>
      <c r="D347" s="170" t="s">
        <v>116</v>
      </c>
      <c r="E347" s="169"/>
      <c r="F347" s="171">
        <f aca="true" t="shared" si="445" ref="F347:N347">F348+F350+F352</f>
        <v>0</v>
      </c>
      <c r="G347" s="171">
        <f t="shared" si="445"/>
        <v>1373</v>
      </c>
      <c r="H347" s="171">
        <f t="shared" si="445"/>
        <v>1373</v>
      </c>
      <c r="I347" s="171">
        <f t="shared" si="445"/>
        <v>1373</v>
      </c>
      <c r="J347" s="171">
        <f t="shared" si="445"/>
        <v>0</v>
      </c>
      <c r="K347" s="171">
        <f t="shared" si="445"/>
        <v>0</v>
      </c>
      <c r="L347" s="171">
        <f t="shared" si="445"/>
        <v>0</v>
      </c>
      <c r="M347" s="171">
        <f t="shared" si="445"/>
        <v>1373</v>
      </c>
      <c r="N347" s="171">
        <f t="shared" si="445"/>
        <v>1373</v>
      </c>
      <c r="O347" s="171">
        <f>O348+O350+O352</f>
        <v>0</v>
      </c>
      <c r="P347" s="171"/>
      <c r="Q347" s="171">
        <f>Q348+Q350+Q352</f>
        <v>0</v>
      </c>
      <c r="R347" s="171">
        <f>R348+R350+R352</f>
        <v>0</v>
      </c>
      <c r="S347" s="171">
        <f>S348+S350+S352</f>
        <v>1373</v>
      </c>
      <c r="T347" s="171">
        <f>T348+T350+T352</f>
        <v>1373</v>
      </c>
      <c r="U347" s="171">
        <f aca="true" t="shared" si="446" ref="U347:AC347">U348+U350+U352</f>
        <v>0</v>
      </c>
      <c r="V347" s="171">
        <f t="shared" si="446"/>
        <v>0</v>
      </c>
      <c r="W347" s="171">
        <f t="shared" si="446"/>
        <v>0</v>
      </c>
      <c r="X347" s="171">
        <f t="shared" si="446"/>
        <v>0</v>
      </c>
      <c r="Y347" s="171">
        <f t="shared" si="446"/>
        <v>0</v>
      </c>
      <c r="Z347" s="171">
        <f t="shared" si="446"/>
        <v>0</v>
      </c>
      <c r="AA347" s="171">
        <f t="shared" si="446"/>
        <v>-1373</v>
      </c>
      <c r="AB347" s="171">
        <f t="shared" si="446"/>
        <v>0</v>
      </c>
      <c r="AC347" s="171">
        <f t="shared" si="446"/>
        <v>0</v>
      </c>
      <c r="AD347" s="171"/>
      <c r="AE347" s="171"/>
      <c r="AF347" s="171"/>
      <c r="AG347" s="171"/>
      <c r="AH347" s="171"/>
      <c r="AI347" s="171"/>
      <c r="AJ347" s="171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3"/>
      <c r="AU347" s="173"/>
      <c r="AV347" s="173"/>
      <c r="AW347" s="173"/>
      <c r="AX347" s="173"/>
      <c r="AY347" s="171"/>
      <c r="AZ347" s="171"/>
      <c r="BA347" s="171"/>
      <c r="BB347" s="171"/>
      <c r="BC347" s="171"/>
      <c r="BD347" s="174"/>
      <c r="BE347" s="174"/>
      <c r="BF347" s="172"/>
      <c r="BG347" s="172"/>
      <c r="BH347" s="172"/>
      <c r="BI347" s="172"/>
      <c r="BJ347" s="172"/>
      <c r="BK347" s="174"/>
      <c r="BL347" s="174"/>
      <c r="BM347" s="174"/>
      <c r="BN347" s="174"/>
      <c r="BO347" s="174"/>
      <c r="BP347" s="174"/>
      <c r="BQ347" s="172"/>
      <c r="BR347" s="172"/>
      <c r="BS347" s="172"/>
      <c r="BT347" s="172"/>
      <c r="BU347" s="172"/>
      <c r="BV347" s="172"/>
      <c r="BW347" s="172"/>
      <c r="BX347" s="172"/>
      <c r="BY347" s="72" t="e">
        <f t="shared" si="441"/>
        <v>#DIV/0!</v>
      </c>
      <c r="BZ347" s="72" t="e">
        <f t="shared" si="444"/>
        <v>#DIV/0!</v>
      </c>
    </row>
    <row r="348" spans="1:78" s="25" customFormat="1" ht="39" customHeight="1" hidden="1">
      <c r="A348" s="168" t="s">
        <v>248</v>
      </c>
      <c r="B348" s="169" t="s">
        <v>148</v>
      </c>
      <c r="C348" s="169" t="s">
        <v>127</v>
      </c>
      <c r="D348" s="170" t="s">
        <v>249</v>
      </c>
      <c r="E348" s="169"/>
      <c r="F348" s="171">
        <f aca="true" t="shared" si="447" ref="F348:AC348">F349</f>
        <v>0</v>
      </c>
      <c r="G348" s="171">
        <f t="shared" si="447"/>
        <v>1340</v>
      </c>
      <c r="H348" s="171">
        <f t="shared" si="447"/>
        <v>1340</v>
      </c>
      <c r="I348" s="171">
        <f t="shared" si="447"/>
        <v>1340</v>
      </c>
      <c r="J348" s="171">
        <f t="shared" si="447"/>
        <v>0</v>
      </c>
      <c r="K348" s="171">
        <f t="shared" si="447"/>
        <v>0</v>
      </c>
      <c r="L348" s="171">
        <f t="shared" si="447"/>
        <v>0</v>
      </c>
      <c r="M348" s="171">
        <f t="shared" si="447"/>
        <v>1340</v>
      </c>
      <c r="N348" s="171">
        <f t="shared" si="447"/>
        <v>1340</v>
      </c>
      <c r="O348" s="171">
        <f t="shared" si="447"/>
        <v>0</v>
      </c>
      <c r="P348" s="171"/>
      <c r="Q348" s="171">
        <f t="shared" si="447"/>
        <v>0</v>
      </c>
      <c r="R348" s="171">
        <f t="shared" si="447"/>
        <v>0</v>
      </c>
      <c r="S348" s="171">
        <f t="shared" si="447"/>
        <v>1340</v>
      </c>
      <c r="T348" s="171">
        <f t="shared" si="447"/>
        <v>1340</v>
      </c>
      <c r="U348" s="171">
        <f t="shared" si="447"/>
        <v>0</v>
      </c>
      <c r="V348" s="171">
        <f t="shared" si="447"/>
        <v>0</v>
      </c>
      <c r="W348" s="171">
        <f t="shared" si="447"/>
        <v>0</v>
      </c>
      <c r="X348" s="171">
        <f t="shared" si="447"/>
        <v>0</v>
      </c>
      <c r="Y348" s="171">
        <f t="shared" si="447"/>
        <v>0</v>
      </c>
      <c r="Z348" s="171">
        <f t="shared" si="447"/>
        <v>0</v>
      </c>
      <c r="AA348" s="171">
        <f t="shared" si="447"/>
        <v>-1340</v>
      </c>
      <c r="AB348" s="171">
        <f t="shared" si="447"/>
        <v>0</v>
      </c>
      <c r="AC348" s="171">
        <f t="shared" si="447"/>
        <v>0</v>
      </c>
      <c r="AD348" s="171"/>
      <c r="AE348" s="171"/>
      <c r="AF348" s="171"/>
      <c r="AG348" s="171"/>
      <c r="AH348" s="171"/>
      <c r="AI348" s="171"/>
      <c r="AJ348" s="171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3"/>
      <c r="AU348" s="173"/>
      <c r="AV348" s="173"/>
      <c r="AW348" s="173"/>
      <c r="AX348" s="173"/>
      <c r="AY348" s="171"/>
      <c r="AZ348" s="171"/>
      <c r="BA348" s="171"/>
      <c r="BB348" s="171"/>
      <c r="BC348" s="171"/>
      <c r="BD348" s="174"/>
      <c r="BE348" s="174"/>
      <c r="BF348" s="172"/>
      <c r="BG348" s="172"/>
      <c r="BH348" s="172"/>
      <c r="BI348" s="172"/>
      <c r="BJ348" s="172"/>
      <c r="BK348" s="174"/>
      <c r="BL348" s="174"/>
      <c r="BM348" s="174"/>
      <c r="BN348" s="174"/>
      <c r="BO348" s="174"/>
      <c r="BP348" s="174"/>
      <c r="BQ348" s="172"/>
      <c r="BR348" s="172"/>
      <c r="BS348" s="172"/>
      <c r="BT348" s="172"/>
      <c r="BU348" s="172"/>
      <c r="BV348" s="172"/>
      <c r="BW348" s="172"/>
      <c r="BX348" s="172"/>
      <c r="BY348" s="72" t="e">
        <f t="shared" si="441"/>
        <v>#DIV/0!</v>
      </c>
      <c r="BZ348" s="72" t="e">
        <f t="shared" si="444"/>
        <v>#DIV/0!</v>
      </c>
    </row>
    <row r="349" spans="1:78" s="25" customFormat="1" ht="39" customHeight="1" hidden="1">
      <c r="A349" s="168" t="s">
        <v>129</v>
      </c>
      <c r="B349" s="169" t="s">
        <v>148</v>
      </c>
      <c r="C349" s="169" t="s">
        <v>127</v>
      </c>
      <c r="D349" s="170" t="s">
        <v>249</v>
      </c>
      <c r="E349" s="169" t="s">
        <v>130</v>
      </c>
      <c r="F349" s="171"/>
      <c r="G349" s="171">
        <f>H349-F349</f>
        <v>1340</v>
      </c>
      <c r="H349" s="171">
        <v>1340</v>
      </c>
      <c r="I349" s="171">
        <v>1340</v>
      </c>
      <c r="J349" s="174"/>
      <c r="K349" s="174"/>
      <c r="L349" s="174"/>
      <c r="M349" s="171">
        <f>H349+J349+K349+L349</f>
        <v>1340</v>
      </c>
      <c r="N349" s="171">
        <f>I349+L349</f>
        <v>1340</v>
      </c>
      <c r="O349" s="174"/>
      <c r="P349" s="174"/>
      <c r="Q349" s="172"/>
      <c r="R349" s="171"/>
      <c r="S349" s="171">
        <f>M349+O349+P349+Q349+R349</f>
        <v>1340</v>
      </c>
      <c r="T349" s="171">
        <f>N349+R349</f>
        <v>1340</v>
      </c>
      <c r="U349" s="172"/>
      <c r="V349" s="172"/>
      <c r="W349" s="171"/>
      <c r="X349" s="172"/>
      <c r="Y349" s="172"/>
      <c r="Z349" s="172"/>
      <c r="AA349" s="171">
        <v>-1340</v>
      </c>
      <c r="AB349" s="171">
        <f>S349+U349+V349+W349+X349+Y349+Z349+AA349</f>
        <v>0</v>
      </c>
      <c r="AC349" s="171">
        <f>T349+Z349+AA349</f>
        <v>0</v>
      </c>
      <c r="AD349" s="171"/>
      <c r="AE349" s="171"/>
      <c r="AF349" s="171"/>
      <c r="AG349" s="171"/>
      <c r="AH349" s="171"/>
      <c r="AI349" s="171"/>
      <c r="AJ349" s="171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3"/>
      <c r="AU349" s="173"/>
      <c r="AV349" s="173"/>
      <c r="AW349" s="173"/>
      <c r="AX349" s="173"/>
      <c r="AY349" s="171"/>
      <c r="AZ349" s="171"/>
      <c r="BA349" s="171"/>
      <c r="BB349" s="171"/>
      <c r="BC349" s="171"/>
      <c r="BD349" s="174"/>
      <c r="BE349" s="174"/>
      <c r="BF349" s="172"/>
      <c r="BG349" s="172"/>
      <c r="BH349" s="172"/>
      <c r="BI349" s="172"/>
      <c r="BJ349" s="172"/>
      <c r="BK349" s="174"/>
      <c r="BL349" s="174"/>
      <c r="BM349" s="174"/>
      <c r="BN349" s="174"/>
      <c r="BO349" s="174"/>
      <c r="BP349" s="174"/>
      <c r="BQ349" s="172"/>
      <c r="BR349" s="172"/>
      <c r="BS349" s="172"/>
      <c r="BT349" s="172"/>
      <c r="BU349" s="172"/>
      <c r="BV349" s="172"/>
      <c r="BW349" s="172"/>
      <c r="BX349" s="172"/>
      <c r="BY349" s="72" t="e">
        <f t="shared" si="441"/>
        <v>#DIV/0!</v>
      </c>
      <c r="BZ349" s="72" t="e">
        <f t="shared" si="444"/>
        <v>#DIV/0!</v>
      </c>
    </row>
    <row r="350" spans="1:78" s="25" customFormat="1" ht="39" customHeight="1" hidden="1">
      <c r="A350" s="168" t="s">
        <v>250</v>
      </c>
      <c r="B350" s="169" t="s">
        <v>148</v>
      </c>
      <c r="C350" s="169" t="s">
        <v>127</v>
      </c>
      <c r="D350" s="170" t="s">
        <v>251</v>
      </c>
      <c r="E350" s="169"/>
      <c r="F350" s="171">
        <f aca="true" t="shared" si="448" ref="F350:AC350">F351</f>
        <v>0</v>
      </c>
      <c r="G350" s="171">
        <f t="shared" si="448"/>
        <v>3</v>
      </c>
      <c r="H350" s="171">
        <f t="shared" si="448"/>
        <v>3</v>
      </c>
      <c r="I350" s="171">
        <f t="shared" si="448"/>
        <v>3</v>
      </c>
      <c r="J350" s="171">
        <f t="shared" si="448"/>
        <v>0</v>
      </c>
      <c r="K350" s="171">
        <f t="shared" si="448"/>
        <v>0</v>
      </c>
      <c r="L350" s="171">
        <f t="shared" si="448"/>
        <v>0</v>
      </c>
      <c r="M350" s="171">
        <f t="shared" si="448"/>
        <v>3</v>
      </c>
      <c r="N350" s="171">
        <f t="shared" si="448"/>
        <v>3</v>
      </c>
      <c r="O350" s="171">
        <f t="shared" si="448"/>
        <v>0</v>
      </c>
      <c r="P350" s="171"/>
      <c r="Q350" s="171">
        <f t="shared" si="448"/>
        <v>0</v>
      </c>
      <c r="R350" s="171">
        <f t="shared" si="448"/>
        <v>0</v>
      </c>
      <c r="S350" s="171">
        <f t="shared" si="448"/>
        <v>3</v>
      </c>
      <c r="T350" s="171">
        <f t="shared" si="448"/>
        <v>3</v>
      </c>
      <c r="U350" s="171">
        <f t="shared" si="448"/>
        <v>0</v>
      </c>
      <c r="V350" s="171">
        <f t="shared" si="448"/>
        <v>0</v>
      </c>
      <c r="W350" s="171">
        <f t="shared" si="448"/>
        <v>0</v>
      </c>
      <c r="X350" s="171">
        <f t="shared" si="448"/>
        <v>0</v>
      </c>
      <c r="Y350" s="171">
        <f t="shared" si="448"/>
        <v>0</v>
      </c>
      <c r="Z350" s="171">
        <f t="shared" si="448"/>
        <v>0</v>
      </c>
      <c r="AA350" s="171">
        <f t="shared" si="448"/>
        <v>-3</v>
      </c>
      <c r="AB350" s="171">
        <f t="shared" si="448"/>
        <v>0</v>
      </c>
      <c r="AC350" s="171">
        <f t="shared" si="448"/>
        <v>0</v>
      </c>
      <c r="AD350" s="171"/>
      <c r="AE350" s="171"/>
      <c r="AF350" s="171"/>
      <c r="AG350" s="171"/>
      <c r="AH350" s="171"/>
      <c r="AI350" s="171"/>
      <c r="AJ350" s="171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3"/>
      <c r="AU350" s="173"/>
      <c r="AV350" s="173"/>
      <c r="AW350" s="173"/>
      <c r="AX350" s="173"/>
      <c r="AY350" s="171"/>
      <c r="AZ350" s="171"/>
      <c r="BA350" s="171"/>
      <c r="BB350" s="171"/>
      <c r="BC350" s="171"/>
      <c r="BD350" s="174"/>
      <c r="BE350" s="174"/>
      <c r="BF350" s="172"/>
      <c r="BG350" s="172"/>
      <c r="BH350" s="172"/>
      <c r="BI350" s="172"/>
      <c r="BJ350" s="172"/>
      <c r="BK350" s="174"/>
      <c r="BL350" s="174"/>
      <c r="BM350" s="174"/>
      <c r="BN350" s="174"/>
      <c r="BO350" s="174"/>
      <c r="BP350" s="174"/>
      <c r="BQ350" s="172"/>
      <c r="BR350" s="172"/>
      <c r="BS350" s="172"/>
      <c r="BT350" s="172"/>
      <c r="BU350" s="172"/>
      <c r="BV350" s="172"/>
      <c r="BW350" s="172"/>
      <c r="BX350" s="172"/>
      <c r="BY350" s="72" t="e">
        <f t="shared" si="441"/>
        <v>#DIV/0!</v>
      </c>
      <c r="BZ350" s="72" t="e">
        <f t="shared" si="444"/>
        <v>#DIV/0!</v>
      </c>
    </row>
    <row r="351" spans="1:78" s="25" customFormat="1" ht="39" customHeight="1" hidden="1">
      <c r="A351" s="168" t="s">
        <v>129</v>
      </c>
      <c r="B351" s="169" t="s">
        <v>148</v>
      </c>
      <c r="C351" s="169" t="s">
        <v>127</v>
      </c>
      <c r="D351" s="170" t="s">
        <v>251</v>
      </c>
      <c r="E351" s="169" t="s">
        <v>130</v>
      </c>
      <c r="F351" s="171"/>
      <c r="G351" s="171">
        <f>H351-F351</f>
        <v>3</v>
      </c>
      <c r="H351" s="171">
        <v>3</v>
      </c>
      <c r="I351" s="171">
        <v>3</v>
      </c>
      <c r="J351" s="174"/>
      <c r="K351" s="174"/>
      <c r="L351" s="174"/>
      <c r="M351" s="171">
        <f>H351+J351+K351+L351</f>
        <v>3</v>
      </c>
      <c r="N351" s="171">
        <f>I351+L351</f>
        <v>3</v>
      </c>
      <c r="O351" s="174"/>
      <c r="P351" s="174"/>
      <c r="Q351" s="172"/>
      <c r="R351" s="174"/>
      <c r="S351" s="171">
        <f>M351+O351+P351+Q351+R351</f>
        <v>3</v>
      </c>
      <c r="T351" s="171">
        <f>N351+R351</f>
        <v>3</v>
      </c>
      <c r="U351" s="172"/>
      <c r="V351" s="172"/>
      <c r="W351" s="174"/>
      <c r="X351" s="172"/>
      <c r="Y351" s="172"/>
      <c r="Z351" s="172"/>
      <c r="AA351" s="171">
        <v>-3</v>
      </c>
      <c r="AB351" s="171">
        <f>S351+U351+V351+W351+X351+Y351+Z351+AA351</f>
        <v>0</v>
      </c>
      <c r="AC351" s="171">
        <f>T351+Z351+AA351</f>
        <v>0</v>
      </c>
      <c r="AD351" s="171"/>
      <c r="AE351" s="171"/>
      <c r="AF351" s="171"/>
      <c r="AG351" s="171"/>
      <c r="AH351" s="171"/>
      <c r="AI351" s="171"/>
      <c r="AJ351" s="171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3"/>
      <c r="AU351" s="173"/>
      <c r="AV351" s="173"/>
      <c r="AW351" s="173"/>
      <c r="AX351" s="173"/>
      <c r="AY351" s="171"/>
      <c r="AZ351" s="171"/>
      <c r="BA351" s="171"/>
      <c r="BB351" s="171"/>
      <c r="BC351" s="171"/>
      <c r="BD351" s="174"/>
      <c r="BE351" s="174"/>
      <c r="BF351" s="172"/>
      <c r="BG351" s="172"/>
      <c r="BH351" s="172"/>
      <c r="BI351" s="172"/>
      <c r="BJ351" s="172"/>
      <c r="BK351" s="174"/>
      <c r="BL351" s="174"/>
      <c r="BM351" s="174"/>
      <c r="BN351" s="174"/>
      <c r="BO351" s="174"/>
      <c r="BP351" s="174"/>
      <c r="BQ351" s="172"/>
      <c r="BR351" s="172"/>
      <c r="BS351" s="172"/>
      <c r="BT351" s="172"/>
      <c r="BU351" s="172"/>
      <c r="BV351" s="172"/>
      <c r="BW351" s="172"/>
      <c r="BX351" s="172"/>
      <c r="BY351" s="72" t="e">
        <f t="shared" si="441"/>
        <v>#DIV/0!</v>
      </c>
      <c r="BZ351" s="72" t="e">
        <f t="shared" si="444"/>
        <v>#DIV/0!</v>
      </c>
    </row>
    <row r="352" spans="1:78" s="25" customFormat="1" ht="67.5" customHeight="1" hidden="1">
      <c r="A352" s="168" t="s">
        <v>252</v>
      </c>
      <c r="B352" s="169" t="s">
        <v>148</v>
      </c>
      <c r="C352" s="169" t="s">
        <v>127</v>
      </c>
      <c r="D352" s="170" t="s">
        <v>253</v>
      </c>
      <c r="E352" s="169"/>
      <c r="F352" s="171">
        <f aca="true" t="shared" si="449" ref="F352:AC352">F353</f>
        <v>0</v>
      </c>
      <c r="G352" s="171">
        <f t="shared" si="449"/>
        <v>30</v>
      </c>
      <c r="H352" s="171">
        <f t="shared" si="449"/>
        <v>30</v>
      </c>
      <c r="I352" s="171">
        <f t="shared" si="449"/>
        <v>30</v>
      </c>
      <c r="J352" s="171">
        <f t="shared" si="449"/>
        <v>0</v>
      </c>
      <c r="K352" s="171">
        <f t="shared" si="449"/>
        <v>0</v>
      </c>
      <c r="L352" s="171">
        <f t="shared" si="449"/>
        <v>0</v>
      </c>
      <c r="M352" s="171">
        <f t="shared" si="449"/>
        <v>30</v>
      </c>
      <c r="N352" s="171">
        <f t="shared" si="449"/>
        <v>30</v>
      </c>
      <c r="O352" s="171">
        <f t="shared" si="449"/>
        <v>0</v>
      </c>
      <c r="P352" s="171"/>
      <c r="Q352" s="171">
        <f t="shared" si="449"/>
        <v>0</v>
      </c>
      <c r="R352" s="171">
        <f t="shared" si="449"/>
        <v>0</v>
      </c>
      <c r="S352" s="171">
        <f t="shared" si="449"/>
        <v>30</v>
      </c>
      <c r="T352" s="171">
        <f t="shared" si="449"/>
        <v>30</v>
      </c>
      <c r="U352" s="171">
        <f t="shared" si="449"/>
        <v>0</v>
      </c>
      <c r="V352" s="171">
        <f t="shared" si="449"/>
        <v>0</v>
      </c>
      <c r="W352" s="171">
        <f t="shared" si="449"/>
        <v>0</v>
      </c>
      <c r="X352" s="171">
        <f t="shared" si="449"/>
        <v>0</v>
      </c>
      <c r="Y352" s="171">
        <f t="shared" si="449"/>
        <v>0</v>
      </c>
      <c r="Z352" s="171">
        <f t="shared" si="449"/>
        <v>0</v>
      </c>
      <c r="AA352" s="171">
        <f t="shared" si="449"/>
        <v>-30</v>
      </c>
      <c r="AB352" s="171">
        <f t="shared" si="449"/>
        <v>0</v>
      </c>
      <c r="AC352" s="171">
        <f t="shared" si="449"/>
        <v>0</v>
      </c>
      <c r="AD352" s="171"/>
      <c r="AE352" s="171"/>
      <c r="AF352" s="171"/>
      <c r="AG352" s="171"/>
      <c r="AH352" s="171"/>
      <c r="AI352" s="171"/>
      <c r="AJ352" s="171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3"/>
      <c r="AU352" s="173"/>
      <c r="AV352" s="173"/>
      <c r="AW352" s="173"/>
      <c r="AX352" s="173"/>
      <c r="AY352" s="171"/>
      <c r="AZ352" s="171"/>
      <c r="BA352" s="171"/>
      <c r="BB352" s="171"/>
      <c r="BC352" s="171"/>
      <c r="BD352" s="174"/>
      <c r="BE352" s="174"/>
      <c r="BF352" s="172"/>
      <c r="BG352" s="172"/>
      <c r="BH352" s="172"/>
      <c r="BI352" s="172"/>
      <c r="BJ352" s="172"/>
      <c r="BK352" s="174"/>
      <c r="BL352" s="174"/>
      <c r="BM352" s="174"/>
      <c r="BN352" s="174"/>
      <c r="BO352" s="174"/>
      <c r="BP352" s="174"/>
      <c r="BQ352" s="172"/>
      <c r="BR352" s="172"/>
      <c r="BS352" s="172"/>
      <c r="BT352" s="172"/>
      <c r="BU352" s="172"/>
      <c r="BV352" s="172"/>
      <c r="BW352" s="172"/>
      <c r="BX352" s="172"/>
      <c r="BY352" s="72" t="e">
        <f t="shared" si="441"/>
        <v>#DIV/0!</v>
      </c>
      <c r="BZ352" s="72" t="e">
        <f t="shared" si="444"/>
        <v>#DIV/0!</v>
      </c>
    </row>
    <row r="353" spans="1:78" s="25" customFormat="1" ht="18.75" customHeight="1" hidden="1">
      <c r="A353" s="168" t="s">
        <v>129</v>
      </c>
      <c r="B353" s="169" t="s">
        <v>148</v>
      </c>
      <c r="C353" s="169" t="s">
        <v>127</v>
      </c>
      <c r="D353" s="170" t="s">
        <v>253</v>
      </c>
      <c r="E353" s="169" t="s">
        <v>130</v>
      </c>
      <c r="F353" s="171"/>
      <c r="G353" s="171">
        <f>H353-F353</f>
        <v>30</v>
      </c>
      <c r="H353" s="171">
        <v>30</v>
      </c>
      <c r="I353" s="171">
        <v>30</v>
      </c>
      <c r="J353" s="174"/>
      <c r="K353" s="174"/>
      <c r="L353" s="174"/>
      <c r="M353" s="171">
        <f>H353+J353+K353+L353</f>
        <v>30</v>
      </c>
      <c r="N353" s="174">
        <f>I353+L353</f>
        <v>30</v>
      </c>
      <c r="O353" s="174"/>
      <c r="P353" s="174"/>
      <c r="Q353" s="172"/>
      <c r="R353" s="174"/>
      <c r="S353" s="171">
        <f>M353+O353+P353+Q353+R353</f>
        <v>30</v>
      </c>
      <c r="T353" s="171">
        <f>N353+R353</f>
        <v>30</v>
      </c>
      <c r="U353" s="172"/>
      <c r="V353" s="172"/>
      <c r="W353" s="174"/>
      <c r="X353" s="172"/>
      <c r="Y353" s="172"/>
      <c r="Z353" s="172"/>
      <c r="AA353" s="171">
        <v>-30</v>
      </c>
      <c r="AB353" s="171">
        <f>S353+U353+V353+W353+X353+Y353+Z353+AA353</f>
        <v>0</v>
      </c>
      <c r="AC353" s="171">
        <f>T353+Z353+AA353</f>
        <v>0</v>
      </c>
      <c r="AD353" s="171"/>
      <c r="AE353" s="171"/>
      <c r="AF353" s="171"/>
      <c r="AG353" s="171"/>
      <c r="AH353" s="171"/>
      <c r="AI353" s="171"/>
      <c r="AJ353" s="171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3"/>
      <c r="AU353" s="173"/>
      <c r="AV353" s="173"/>
      <c r="AW353" s="173"/>
      <c r="AX353" s="173"/>
      <c r="AY353" s="171"/>
      <c r="AZ353" s="171"/>
      <c r="BA353" s="171"/>
      <c r="BB353" s="171"/>
      <c r="BC353" s="171"/>
      <c r="BD353" s="174"/>
      <c r="BE353" s="174"/>
      <c r="BF353" s="172"/>
      <c r="BG353" s="172"/>
      <c r="BH353" s="172"/>
      <c r="BI353" s="172"/>
      <c r="BJ353" s="172"/>
      <c r="BK353" s="174"/>
      <c r="BL353" s="174"/>
      <c r="BM353" s="174"/>
      <c r="BN353" s="174"/>
      <c r="BO353" s="174"/>
      <c r="BP353" s="174"/>
      <c r="BQ353" s="172"/>
      <c r="BR353" s="172"/>
      <c r="BS353" s="172"/>
      <c r="BT353" s="172"/>
      <c r="BU353" s="172"/>
      <c r="BV353" s="172"/>
      <c r="BW353" s="172"/>
      <c r="BX353" s="172"/>
      <c r="BY353" s="72" t="e">
        <f t="shared" si="441"/>
        <v>#DIV/0!</v>
      </c>
      <c r="BZ353" s="72" t="e">
        <f t="shared" si="444"/>
        <v>#DIV/0!</v>
      </c>
    </row>
    <row r="354" spans="1:78" s="14" customFormat="1" ht="12.75" customHeight="1">
      <c r="A354" s="88"/>
      <c r="B354" s="89"/>
      <c r="C354" s="89"/>
      <c r="D354" s="90"/>
      <c r="E354" s="89"/>
      <c r="F354" s="75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9"/>
      <c r="R354" s="79"/>
      <c r="S354" s="75"/>
      <c r="T354" s="75"/>
      <c r="U354" s="79"/>
      <c r="V354" s="79"/>
      <c r="W354" s="79"/>
      <c r="X354" s="79"/>
      <c r="Y354" s="79"/>
      <c r="Z354" s="79"/>
      <c r="AA354" s="79"/>
      <c r="AB354" s="79"/>
      <c r="AC354" s="79"/>
      <c r="AD354" s="75"/>
      <c r="AE354" s="75"/>
      <c r="AF354" s="75"/>
      <c r="AG354" s="75"/>
      <c r="AH354" s="75"/>
      <c r="AI354" s="75"/>
      <c r="AJ354" s="75"/>
      <c r="AK354" s="79"/>
      <c r="AL354" s="79"/>
      <c r="AM354" s="79"/>
      <c r="AN354" s="79"/>
      <c r="AO354" s="79"/>
      <c r="AP354" s="79"/>
      <c r="AQ354" s="79"/>
      <c r="AR354" s="79"/>
      <c r="AS354" s="79"/>
      <c r="AT354" s="81"/>
      <c r="AU354" s="81"/>
      <c r="AV354" s="81"/>
      <c r="AW354" s="81"/>
      <c r="AX354" s="81"/>
      <c r="AY354" s="75"/>
      <c r="AZ354" s="75"/>
      <c r="BA354" s="75"/>
      <c r="BB354" s="75"/>
      <c r="BC354" s="75"/>
      <c r="BD354" s="78"/>
      <c r="BE354" s="78"/>
      <c r="BF354" s="79"/>
      <c r="BG354" s="79"/>
      <c r="BH354" s="79"/>
      <c r="BI354" s="79"/>
      <c r="BJ354" s="79"/>
      <c r="BK354" s="78"/>
      <c r="BL354" s="78"/>
      <c r="BM354" s="78"/>
      <c r="BN354" s="78"/>
      <c r="BO354" s="78"/>
      <c r="BP354" s="78"/>
      <c r="BQ354" s="79"/>
      <c r="BR354" s="79"/>
      <c r="BS354" s="79"/>
      <c r="BT354" s="79"/>
      <c r="BU354" s="79"/>
      <c r="BV354" s="79"/>
      <c r="BW354" s="79"/>
      <c r="BX354" s="79"/>
      <c r="BY354" s="72"/>
      <c r="BZ354" s="72"/>
    </row>
    <row r="355" spans="1:78" s="11" customFormat="1" ht="21" customHeight="1">
      <c r="A355" s="66" t="s">
        <v>173</v>
      </c>
      <c r="B355" s="67" t="s">
        <v>148</v>
      </c>
      <c r="C355" s="67" t="s">
        <v>128</v>
      </c>
      <c r="D355" s="85"/>
      <c r="E355" s="67"/>
      <c r="F355" s="86">
        <f aca="true" t="shared" si="450" ref="F355:N355">F358+F356+F360</f>
        <v>183612</v>
      </c>
      <c r="G355" s="86">
        <f t="shared" si="450"/>
        <v>73474</v>
      </c>
      <c r="H355" s="86">
        <f t="shared" si="450"/>
        <v>257086</v>
      </c>
      <c r="I355" s="86">
        <f t="shared" si="450"/>
        <v>30805</v>
      </c>
      <c r="J355" s="86">
        <f t="shared" si="450"/>
        <v>0</v>
      </c>
      <c r="K355" s="86">
        <f t="shared" si="450"/>
        <v>0</v>
      </c>
      <c r="L355" s="86">
        <f t="shared" si="450"/>
        <v>0</v>
      </c>
      <c r="M355" s="86">
        <f t="shared" si="450"/>
        <v>257086</v>
      </c>
      <c r="N355" s="86">
        <f t="shared" si="450"/>
        <v>30805</v>
      </c>
      <c r="O355" s="86">
        <f aca="true" t="shared" si="451" ref="O355:T355">O358+O356+O360</f>
        <v>0</v>
      </c>
      <c r="P355" s="86">
        <f t="shared" si="451"/>
        <v>0</v>
      </c>
      <c r="Q355" s="86">
        <f t="shared" si="451"/>
        <v>0</v>
      </c>
      <c r="R355" s="86">
        <f t="shared" si="451"/>
        <v>0</v>
      </c>
      <c r="S355" s="86">
        <f t="shared" si="451"/>
        <v>257086</v>
      </c>
      <c r="T355" s="86">
        <f t="shared" si="451"/>
        <v>30805</v>
      </c>
      <c r="U355" s="86">
        <f aca="true" t="shared" si="452" ref="U355:AC355">U358+U356+U360</f>
        <v>0</v>
      </c>
      <c r="V355" s="86">
        <f t="shared" si="452"/>
        <v>0</v>
      </c>
      <c r="W355" s="86">
        <f t="shared" si="452"/>
        <v>0</v>
      </c>
      <c r="X355" s="86">
        <f t="shared" si="452"/>
        <v>0</v>
      </c>
      <c r="Y355" s="86">
        <f t="shared" si="452"/>
        <v>0</v>
      </c>
      <c r="Z355" s="86">
        <f t="shared" si="452"/>
        <v>0</v>
      </c>
      <c r="AA355" s="86">
        <f t="shared" si="452"/>
        <v>-15248</v>
      </c>
      <c r="AB355" s="86">
        <f t="shared" si="452"/>
        <v>241838</v>
      </c>
      <c r="AC355" s="86">
        <f t="shared" si="452"/>
        <v>15557</v>
      </c>
      <c r="AD355" s="86">
        <f aca="true" t="shared" si="453" ref="AD355:AJ355">AD358+AD356+AD360</f>
        <v>2</v>
      </c>
      <c r="AE355" s="86">
        <f t="shared" si="453"/>
        <v>2889</v>
      </c>
      <c r="AF355" s="86">
        <f t="shared" si="453"/>
        <v>-58839</v>
      </c>
      <c r="AG355" s="86">
        <f t="shared" si="453"/>
        <v>0</v>
      </c>
      <c r="AH355" s="86">
        <f t="shared" si="453"/>
        <v>0</v>
      </c>
      <c r="AI355" s="86">
        <f t="shared" si="453"/>
        <v>185890</v>
      </c>
      <c r="AJ355" s="86">
        <f t="shared" si="453"/>
        <v>15557</v>
      </c>
      <c r="AK355" s="86">
        <f aca="true" t="shared" si="454" ref="AK355:AS355">AK358+AK356+AK360</f>
        <v>0</v>
      </c>
      <c r="AL355" s="86">
        <f t="shared" si="454"/>
        <v>185890</v>
      </c>
      <c r="AM355" s="86">
        <f t="shared" si="454"/>
        <v>15557</v>
      </c>
      <c r="AN355" s="86">
        <f t="shared" si="454"/>
        <v>0</v>
      </c>
      <c r="AO355" s="86">
        <f>AO358+AO356+AO360</f>
        <v>2689</v>
      </c>
      <c r="AP355" s="86">
        <f t="shared" si="454"/>
        <v>1</v>
      </c>
      <c r="AQ355" s="86">
        <f t="shared" si="454"/>
        <v>-15227</v>
      </c>
      <c r="AR355" s="86">
        <f t="shared" si="454"/>
        <v>173353</v>
      </c>
      <c r="AS355" s="86">
        <f t="shared" si="454"/>
        <v>330</v>
      </c>
      <c r="AT355" s="87">
        <f aca="true" t="shared" si="455" ref="AT355:BE355">AT358+AT356+AT360</f>
        <v>0</v>
      </c>
      <c r="AU355" s="87">
        <f t="shared" si="455"/>
        <v>0</v>
      </c>
      <c r="AV355" s="87">
        <f t="shared" si="455"/>
        <v>0</v>
      </c>
      <c r="AW355" s="87">
        <f t="shared" si="455"/>
        <v>173353</v>
      </c>
      <c r="AX355" s="87">
        <f t="shared" si="455"/>
        <v>330</v>
      </c>
      <c r="AY355" s="86">
        <f t="shared" si="455"/>
        <v>-13314</v>
      </c>
      <c r="AZ355" s="86">
        <f t="shared" si="455"/>
        <v>3367</v>
      </c>
      <c r="BA355" s="86">
        <f>BA358+BA356+BA360</f>
        <v>0</v>
      </c>
      <c r="BB355" s="86">
        <f>BB358+BB356+BB360</f>
        <v>0</v>
      </c>
      <c r="BC355" s="86">
        <f t="shared" si="455"/>
        <v>0</v>
      </c>
      <c r="BD355" s="86">
        <f t="shared" si="455"/>
        <v>163406</v>
      </c>
      <c r="BE355" s="86">
        <f t="shared" si="455"/>
        <v>330</v>
      </c>
      <c r="BF355" s="86">
        <f>BF358+BF356+BF360</f>
        <v>0</v>
      </c>
      <c r="BG355" s="86">
        <f>BG358+BG356+BG360</f>
        <v>0</v>
      </c>
      <c r="BH355" s="86">
        <f>BH358+BH356+BH360</f>
        <v>0</v>
      </c>
      <c r="BI355" s="86">
        <f>BI358+BI356+BI360</f>
        <v>163406</v>
      </c>
      <c r="BJ355" s="86">
        <f>BJ358+BJ356+BJ360</f>
        <v>330</v>
      </c>
      <c r="BK355" s="86">
        <f aca="true" t="shared" si="456" ref="BK355:BP355">BK358+BK356+BK360</f>
        <v>532</v>
      </c>
      <c r="BL355" s="86">
        <f t="shared" si="456"/>
        <v>1</v>
      </c>
      <c r="BM355" s="86">
        <f t="shared" si="456"/>
        <v>0</v>
      </c>
      <c r="BN355" s="86">
        <f t="shared" si="456"/>
        <v>0</v>
      </c>
      <c r="BO355" s="86">
        <f t="shared" si="456"/>
        <v>163939</v>
      </c>
      <c r="BP355" s="86">
        <f t="shared" si="456"/>
        <v>330</v>
      </c>
      <c r="BQ355" s="86">
        <f>BQ358+BQ356+BQ360</f>
        <v>-592</v>
      </c>
      <c r="BR355" s="86"/>
      <c r="BS355" s="86">
        <f aca="true" t="shared" si="457" ref="BS355:BX355">BS358+BS356+BS360</f>
        <v>347</v>
      </c>
      <c r="BT355" s="86">
        <f t="shared" si="457"/>
        <v>610</v>
      </c>
      <c r="BU355" s="86">
        <f t="shared" si="457"/>
        <v>164304</v>
      </c>
      <c r="BV355" s="86">
        <f t="shared" si="457"/>
        <v>940</v>
      </c>
      <c r="BW355" s="86">
        <f t="shared" si="457"/>
        <v>153839</v>
      </c>
      <c r="BX355" s="86">
        <f t="shared" si="457"/>
        <v>940</v>
      </c>
      <c r="BY355" s="71">
        <f>BW355/BU355*100</f>
        <v>93.63070892978868</v>
      </c>
      <c r="BZ355" s="71">
        <f>BX355/BV355*100</f>
        <v>100</v>
      </c>
    </row>
    <row r="356" spans="1:78" s="11" customFormat="1" ht="60.75" customHeight="1" hidden="1">
      <c r="A356" s="88" t="s">
        <v>152</v>
      </c>
      <c r="B356" s="89" t="s">
        <v>148</v>
      </c>
      <c r="C356" s="89" t="s">
        <v>128</v>
      </c>
      <c r="D356" s="90" t="s">
        <v>39</v>
      </c>
      <c r="E356" s="89"/>
      <c r="F356" s="91">
        <f aca="true" t="shared" si="458" ref="F356:BQ356">F357</f>
        <v>15911</v>
      </c>
      <c r="G356" s="91">
        <f t="shared" si="458"/>
        <v>-6502</v>
      </c>
      <c r="H356" s="91">
        <f t="shared" si="458"/>
        <v>9409</v>
      </c>
      <c r="I356" s="91">
        <f t="shared" si="458"/>
        <v>0</v>
      </c>
      <c r="J356" s="91">
        <f t="shared" si="458"/>
        <v>0</v>
      </c>
      <c r="K356" s="91">
        <f t="shared" si="458"/>
        <v>0</v>
      </c>
      <c r="L356" s="91">
        <f t="shared" si="458"/>
        <v>0</v>
      </c>
      <c r="M356" s="91">
        <f t="shared" si="458"/>
        <v>9409</v>
      </c>
      <c r="N356" s="91">
        <f t="shared" si="458"/>
        <v>0</v>
      </c>
      <c r="O356" s="91">
        <f t="shared" si="458"/>
        <v>0</v>
      </c>
      <c r="P356" s="91"/>
      <c r="Q356" s="91">
        <f t="shared" si="458"/>
        <v>0</v>
      </c>
      <c r="R356" s="91">
        <f t="shared" si="458"/>
        <v>0</v>
      </c>
      <c r="S356" s="91">
        <f t="shared" si="458"/>
        <v>9409</v>
      </c>
      <c r="T356" s="91">
        <f t="shared" si="458"/>
        <v>0</v>
      </c>
      <c r="U356" s="91">
        <f t="shared" si="458"/>
        <v>0</v>
      </c>
      <c r="V356" s="91">
        <f t="shared" si="458"/>
        <v>0</v>
      </c>
      <c r="W356" s="91">
        <f t="shared" si="458"/>
        <v>0</v>
      </c>
      <c r="X356" s="91">
        <f t="shared" si="458"/>
        <v>0</v>
      </c>
      <c r="Y356" s="91">
        <f t="shared" si="458"/>
        <v>0</v>
      </c>
      <c r="Z356" s="91">
        <f t="shared" si="458"/>
        <v>0</v>
      </c>
      <c r="AA356" s="91">
        <f t="shared" si="458"/>
        <v>0</v>
      </c>
      <c r="AB356" s="91">
        <f t="shared" si="458"/>
        <v>9409</v>
      </c>
      <c r="AC356" s="91">
        <f t="shared" si="458"/>
        <v>0</v>
      </c>
      <c r="AD356" s="91">
        <f t="shared" si="458"/>
        <v>0</v>
      </c>
      <c r="AE356" s="91">
        <f t="shared" si="458"/>
        <v>0</v>
      </c>
      <c r="AF356" s="91">
        <f t="shared" si="458"/>
        <v>-8959</v>
      </c>
      <c r="AG356" s="91">
        <f t="shared" si="458"/>
        <v>0</v>
      </c>
      <c r="AH356" s="91">
        <f t="shared" si="458"/>
        <v>0</v>
      </c>
      <c r="AI356" s="91">
        <f t="shared" si="458"/>
        <v>450</v>
      </c>
      <c r="AJ356" s="91">
        <f t="shared" si="458"/>
        <v>0</v>
      </c>
      <c r="AK356" s="91">
        <f t="shared" si="458"/>
        <v>0</v>
      </c>
      <c r="AL356" s="91">
        <f t="shared" si="458"/>
        <v>450</v>
      </c>
      <c r="AM356" s="91">
        <f t="shared" si="458"/>
        <v>0</v>
      </c>
      <c r="AN356" s="91">
        <f t="shared" si="458"/>
        <v>0</v>
      </c>
      <c r="AO356" s="91">
        <f t="shared" si="458"/>
        <v>0</v>
      </c>
      <c r="AP356" s="91">
        <f t="shared" si="458"/>
        <v>0</v>
      </c>
      <c r="AQ356" s="91">
        <f t="shared" si="458"/>
        <v>0</v>
      </c>
      <c r="AR356" s="91">
        <f t="shared" si="458"/>
        <v>450</v>
      </c>
      <c r="AS356" s="91">
        <f t="shared" si="458"/>
        <v>0</v>
      </c>
      <c r="AT356" s="92">
        <f t="shared" si="458"/>
        <v>0</v>
      </c>
      <c r="AU356" s="92">
        <f t="shared" si="458"/>
        <v>0</v>
      </c>
      <c r="AV356" s="92">
        <f t="shared" si="458"/>
        <v>0</v>
      </c>
      <c r="AW356" s="92">
        <f t="shared" si="458"/>
        <v>450</v>
      </c>
      <c r="AX356" s="92">
        <f t="shared" si="458"/>
        <v>0</v>
      </c>
      <c r="AY356" s="91">
        <f t="shared" si="458"/>
        <v>-50</v>
      </c>
      <c r="AZ356" s="91">
        <f t="shared" si="458"/>
        <v>0</v>
      </c>
      <c r="BA356" s="91">
        <f t="shared" si="458"/>
        <v>0</v>
      </c>
      <c r="BB356" s="91">
        <f t="shared" si="458"/>
        <v>0</v>
      </c>
      <c r="BC356" s="91">
        <f t="shared" si="458"/>
        <v>0</v>
      </c>
      <c r="BD356" s="91">
        <f t="shared" si="458"/>
        <v>400</v>
      </c>
      <c r="BE356" s="91">
        <f t="shared" si="458"/>
        <v>0</v>
      </c>
      <c r="BF356" s="91">
        <f t="shared" si="458"/>
        <v>0</v>
      </c>
      <c r="BG356" s="91">
        <f t="shared" si="458"/>
        <v>0</v>
      </c>
      <c r="BH356" s="91">
        <f t="shared" si="458"/>
        <v>0</v>
      </c>
      <c r="BI356" s="91">
        <f t="shared" si="458"/>
        <v>400</v>
      </c>
      <c r="BJ356" s="91">
        <f t="shared" si="458"/>
        <v>0</v>
      </c>
      <c r="BK356" s="91">
        <f t="shared" si="458"/>
        <v>0</v>
      </c>
      <c r="BL356" s="91">
        <f t="shared" si="458"/>
        <v>0</v>
      </c>
      <c r="BM356" s="91">
        <f t="shared" si="458"/>
        <v>0</v>
      </c>
      <c r="BN356" s="91">
        <f t="shared" si="458"/>
        <v>0</v>
      </c>
      <c r="BO356" s="91">
        <f t="shared" si="458"/>
        <v>400</v>
      </c>
      <c r="BP356" s="91">
        <f t="shared" si="458"/>
        <v>0</v>
      </c>
      <c r="BQ356" s="91">
        <f t="shared" si="458"/>
        <v>0</v>
      </c>
      <c r="BR356" s="91"/>
      <c r="BS356" s="91">
        <f aca="true" t="shared" si="459" ref="BS356:BX356">BS357</f>
        <v>0</v>
      </c>
      <c r="BT356" s="91">
        <f t="shared" si="459"/>
        <v>0</v>
      </c>
      <c r="BU356" s="91">
        <f t="shared" si="459"/>
        <v>400</v>
      </c>
      <c r="BV356" s="91">
        <f t="shared" si="459"/>
        <v>0</v>
      </c>
      <c r="BW356" s="91">
        <f t="shared" si="459"/>
        <v>371</v>
      </c>
      <c r="BX356" s="91">
        <f t="shared" si="459"/>
        <v>0</v>
      </c>
      <c r="BY356" s="77">
        <f aca="true" t="shared" si="460" ref="BY356:BY366">BW356/BU356*100</f>
        <v>92.75</v>
      </c>
      <c r="BZ356" s="72"/>
    </row>
    <row r="357" spans="1:78" s="11" customFormat="1" ht="111.75" customHeight="1" hidden="1">
      <c r="A357" s="88" t="s">
        <v>360</v>
      </c>
      <c r="B357" s="89" t="s">
        <v>148</v>
      </c>
      <c r="C357" s="89" t="s">
        <v>128</v>
      </c>
      <c r="D357" s="90" t="s">
        <v>39</v>
      </c>
      <c r="E357" s="89" t="s">
        <v>153</v>
      </c>
      <c r="F357" s="75">
        <v>15911</v>
      </c>
      <c r="G357" s="75">
        <f>H357-F357</f>
        <v>-6502</v>
      </c>
      <c r="H357" s="75">
        <v>9409</v>
      </c>
      <c r="I357" s="62"/>
      <c r="J357" s="62"/>
      <c r="K357" s="62"/>
      <c r="L357" s="62"/>
      <c r="M357" s="75">
        <f>H357+J357+K357+L357</f>
        <v>9409</v>
      </c>
      <c r="N357" s="78">
        <f>I357+L357</f>
        <v>0</v>
      </c>
      <c r="O357" s="62"/>
      <c r="P357" s="62"/>
      <c r="Q357" s="63"/>
      <c r="R357" s="63"/>
      <c r="S357" s="75">
        <f>M357+O357+P357+Q357+R357</f>
        <v>9409</v>
      </c>
      <c r="T357" s="75">
        <f>N357+R357</f>
        <v>0</v>
      </c>
      <c r="U357" s="63"/>
      <c r="V357" s="63"/>
      <c r="W357" s="63"/>
      <c r="X357" s="63"/>
      <c r="Y357" s="63"/>
      <c r="Z357" s="63"/>
      <c r="AA357" s="63"/>
      <c r="AB357" s="75">
        <f>S357+U357+V357+W357+X357+Y357+Z357+AA357</f>
        <v>9409</v>
      </c>
      <c r="AC357" s="75">
        <f>T357+Z357+AA357</f>
        <v>0</v>
      </c>
      <c r="AD357" s="61"/>
      <c r="AE357" s="61"/>
      <c r="AF357" s="61">
        <v>-8959</v>
      </c>
      <c r="AG357" s="61"/>
      <c r="AH357" s="61"/>
      <c r="AI357" s="75">
        <f>AB357+AD357+AE357+AF357+AG357+AH357</f>
        <v>450</v>
      </c>
      <c r="AJ357" s="75">
        <f>AC357+AH357</f>
        <v>0</v>
      </c>
      <c r="AK357" s="63"/>
      <c r="AL357" s="75">
        <f>AI357+AK357</f>
        <v>450</v>
      </c>
      <c r="AM357" s="75">
        <f>AJ357</f>
        <v>0</v>
      </c>
      <c r="AN357" s="63"/>
      <c r="AO357" s="63"/>
      <c r="AP357" s="63"/>
      <c r="AQ357" s="63"/>
      <c r="AR357" s="75">
        <f>AL357+AN357+AO357+AP357+AQ357</f>
        <v>450</v>
      </c>
      <c r="AS357" s="75">
        <f>AM357+AQ357</f>
        <v>0</v>
      </c>
      <c r="AT357" s="65"/>
      <c r="AU357" s="65"/>
      <c r="AV357" s="65"/>
      <c r="AW357" s="76">
        <f>AV357+AU357+AT357+AR357</f>
        <v>450</v>
      </c>
      <c r="AX357" s="76">
        <f>AV357+AS357</f>
        <v>0</v>
      </c>
      <c r="AY357" s="75">
        <v>-50</v>
      </c>
      <c r="AZ357" s="61"/>
      <c r="BA357" s="61"/>
      <c r="BB357" s="61"/>
      <c r="BC357" s="61"/>
      <c r="BD357" s="75">
        <f>AW357+AY357+AZ357+BA357+BB357+BC357</f>
        <v>400</v>
      </c>
      <c r="BE357" s="75">
        <f>AX357+BC357</f>
        <v>0</v>
      </c>
      <c r="BF357" s="63"/>
      <c r="BG357" s="63"/>
      <c r="BH357" s="63"/>
      <c r="BI357" s="75">
        <f>BD357+BF357+BG357+BH357</f>
        <v>400</v>
      </c>
      <c r="BJ357" s="75">
        <f>BE357+BH357</f>
        <v>0</v>
      </c>
      <c r="BK357" s="62"/>
      <c r="BL357" s="62"/>
      <c r="BM357" s="62"/>
      <c r="BN357" s="62"/>
      <c r="BO357" s="75">
        <f>BI357+BK357+BL357+BM357+BN357</f>
        <v>400</v>
      </c>
      <c r="BP357" s="75">
        <f>BJ357+BN357</f>
        <v>0</v>
      </c>
      <c r="BQ357" s="63"/>
      <c r="BR357" s="63"/>
      <c r="BS357" s="63"/>
      <c r="BT357" s="63"/>
      <c r="BU357" s="75">
        <f>BO357+BQ357+BS357+BT357</f>
        <v>400</v>
      </c>
      <c r="BV357" s="75">
        <f>BP357+BT357</f>
        <v>0</v>
      </c>
      <c r="BW357" s="75">
        <v>371</v>
      </c>
      <c r="BX357" s="75">
        <f>BR357+BV357</f>
        <v>0</v>
      </c>
      <c r="BY357" s="77">
        <f t="shared" si="460"/>
        <v>92.75</v>
      </c>
      <c r="BZ357" s="72"/>
    </row>
    <row r="358" spans="1:78" s="14" customFormat="1" ht="36" customHeight="1" hidden="1">
      <c r="A358" s="88" t="s">
        <v>100</v>
      </c>
      <c r="B358" s="89" t="s">
        <v>148</v>
      </c>
      <c r="C358" s="89" t="s">
        <v>128</v>
      </c>
      <c r="D358" s="90" t="s">
        <v>101</v>
      </c>
      <c r="E358" s="89"/>
      <c r="F358" s="91">
        <f aca="true" t="shared" si="461" ref="F358:BQ358">F359</f>
        <v>167701</v>
      </c>
      <c r="G358" s="91">
        <f t="shared" si="461"/>
        <v>64728</v>
      </c>
      <c r="H358" s="91">
        <f t="shared" si="461"/>
        <v>232429</v>
      </c>
      <c r="I358" s="91">
        <f t="shared" si="461"/>
        <v>15557</v>
      </c>
      <c r="J358" s="91">
        <f t="shared" si="461"/>
        <v>0</v>
      </c>
      <c r="K358" s="91">
        <f t="shared" si="461"/>
        <v>0</v>
      </c>
      <c r="L358" s="91">
        <f t="shared" si="461"/>
        <v>0</v>
      </c>
      <c r="M358" s="91">
        <f t="shared" si="461"/>
        <v>232429</v>
      </c>
      <c r="N358" s="91">
        <f t="shared" si="461"/>
        <v>15557</v>
      </c>
      <c r="O358" s="91">
        <f t="shared" si="461"/>
        <v>0</v>
      </c>
      <c r="P358" s="91">
        <f t="shared" si="461"/>
        <v>0</v>
      </c>
      <c r="Q358" s="91">
        <f t="shared" si="461"/>
        <v>0</v>
      </c>
      <c r="R358" s="91">
        <f t="shared" si="461"/>
        <v>0</v>
      </c>
      <c r="S358" s="91">
        <f t="shared" si="461"/>
        <v>232429</v>
      </c>
      <c r="T358" s="91">
        <f t="shared" si="461"/>
        <v>15557</v>
      </c>
      <c r="U358" s="91">
        <f t="shared" si="461"/>
        <v>0</v>
      </c>
      <c r="V358" s="91">
        <f t="shared" si="461"/>
        <v>0</v>
      </c>
      <c r="W358" s="91">
        <f t="shared" si="461"/>
        <v>0</v>
      </c>
      <c r="X358" s="91">
        <f t="shared" si="461"/>
        <v>0</v>
      </c>
      <c r="Y358" s="91">
        <f t="shared" si="461"/>
        <v>0</v>
      </c>
      <c r="Z358" s="91">
        <f t="shared" si="461"/>
        <v>0</v>
      </c>
      <c r="AA358" s="91">
        <f t="shared" si="461"/>
        <v>0</v>
      </c>
      <c r="AB358" s="91">
        <f t="shared" si="461"/>
        <v>232429</v>
      </c>
      <c r="AC358" s="91">
        <f t="shared" si="461"/>
        <v>15557</v>
      </c>
      <c r="AD358" s="91">
        <f t="shared" si="461"/>
        <v>2</v>
      </c>
      <c r="AE358" s="91">
        <f t="shared" si="461"/>
        <v>2889</v>
      </c>
      <c r="AF358" s="91">
        <f t="shared" si="461"/>
        <v>-49880</v>
      </c>
      <c r="AG358" s="91">
        <f t="shared" si="461"/>
        <v>0</v>
      </c>
      <c r="AH358" s="91">
        <f t="shared" si="461"/>
        <v>0</v>
      </c>
      <c r="AI358" s="91">
        <f t="shared" si="461"/>
        <v>185440</v>
      </c>
      <c r="AJ358" s="91">
        <f t="shared" si="461"/>
        <v>15557</v>
      </c>
      <c r="AK358" s="91">
        <f t="shared" si="461"/>
        <v>0</v>
      </c>
      <c r="AL358" s="91">
        <f t="shared" si="461"/>
        <v>185440</v>
      </c>
      <c r="AM358" s="91">
        <f t="shared" si="461"/>
        <v>15557</v>
      </c>
      <c r="AN358" s="91">
        <f t="shared" si="461"/>
        <v>0</v>
      </c>
      <c r="AO358" s="91">
        <f t="shared" si="461"/>
        <v>2689</v>
      </c>
      <c r="AP358" s="91">
        <f t="shared" si="461"/>
        <v>1</v>
      </c>
      <c r="AQ358" s="91">
        <f t="shared" si="461"/>
        <v>-15227</v>
      </c>
      <c r="AR358" s="91">
        <f t="shared" si="461"/>
        <v>172903</v>
      </c>
      <c r="AS358" s="91">
        <f t="shared" si="461"/>
        <v>330</v>
      </c>
      <c r="AT358" s="92">
        <f t="shared" si="461"/>
        <v>0</v>
      </c>
      <c r="AU358" s="92">
        <f t="shared" si="461"/>
        <v>0</v>
      </c>
      <c r="AV358" s="92">
        <f t="shared" si="461"/>
        <v>0</v>
      </c>
      <c r="AW358" s="92">
        <f t="shared" si="461"/>
        <v>172903</v>
      </c>
      <c r="AX358" s="92">
        <f t="shared" si="461"/>
        <v>330</v>
      </c>
      <c r="AY358" s="91">
        <f t="shared" si="461"/>
        <v>-13264</v>
      </c>
      <c r="AZ358" s="91">
        <f t="shared" si="461"/>
        <v>3367</v>
      </c>
      <c r="BA358" s="91">
        <f t="shared" si="461"/>
        <v>0</v>
      </c>
      <c r="BB358" s="91">
        <f t="shared" si="461"/>
        <v>0</v>
      </c>
      <c r="BC358" s="91">
        <f t="shared" si="461"/>
        <v>0</v>
      </c>
      <c r="BD358" s="91">
        <f t="shared" si="461"/>
        <v>163006</v>
      </c>
      <c r="BE358" s="91">
        <f t="shared" si="461"/>
        <v>330</v>
      </c>
      <c r="BF358" s="91">
        <f t="shared" si="461"/>
        <v>0</v>
      </c>
      <c r="BG358" s="91">
        <f t="shared" si="461"/>
        <v>0</v>
      </c>
      <c r="BH358" s="91">
        <f t="shared" si="461"/>
        <v>0</v>
      </c>
      <c r="BI358" s="91">
        <f t="shared" si="461"/>
        <v>163006</v>
      </c>
      <c r="BJ358" s="91">
        <f t="shared" si="461"/>
        <v>330</v>
      </c>
      <c r="BK358" s="91">
        <f t="shared" si="461"/>
        <v>532</v>
      </c>
      <c r="BL358" s="91">
        <f t="shared" si="461"/>
        <v>1</v>
      </c>
      <c r="BM358" s="91">
        <f t="shared" si="461"/>
        <v>0</v>
      </c>
      <c r="BN358" s="91">
        <f t="shared" si="461"/>
        <v>0</v>
      </c>
      <c r="BO358" s="91">
        <f t="shared" si="461"/>
        <v>163539</v>
      </c>
      <c r="BP358" s="91">
        <f t="shared" si="461"/>
        <v>330</v>
      </c>
      <c r="BQ358" s="91">
        <f t="shared" si="461"/>
        <v>-592</v>
      </c>
      <c r="BR358" s="91"/>
      <c r="BS358" s="91">
        <f aca="true" t="shared" si="462" ref="BS358:BX358">BS359</f>
        <v>347</v>
      </c>
      <c r="BT358" s="91">
        <f t="shared" si="462"/>
        <v>610</v>
      </c>
      <c r="BU358" s="91">
        <f t="shared" si="462"/>
        <v>163904</v>
      </c>
      <c r="BV358" s="91">
        <f t="shared" si="462"/>
        <v>940</v>
      </c>
      <c r="BW358" s="91">
        <f t="shared" si="462"/>
        <v>153468</v>
      </c>
      <c r="BX358" s="91">
        <f t="shared" si="462"/>
        <v>940</v>
      </c>
      <c r="BY358" s="77">
        <f t="shared" si="460"/>
        <v>93.63285825849277</v>
      </c>
      <c r="BZ358" s="77">
        <f aca="true" t="shared" si="463" ref="BZ358:BZ366">BX358/BV358*100</f>
        <v>100</v>
      </c>
    </row>
    <row r="359" spans="1:78" s="14" customFormat="1" ht="46.5" customHeight="1" hidden="1">
      <c r="A359" s="88" t="s">
        <v>129</v>
      </c>
      <c r="B359" s="89" t="s">
        <v>148</v>
      </c>
      <c r="C359" s="89" t="s">
        <v>128</v>
      </c>
      <c r="D359" s="90" t="s">
        <v>101</v>
      </c>
      <c r="E359" s="89" t="s">
        <v>130</v>
      </c>
      <c r="F359" s="75">
        <v>167701</v>
      </c>
      <c r="G359" s="75">
        <f>H359-F359</f>
        <v>64728</v>
      </c>
      <c r="H359" s="75">
        <v>232429</v>
      </c>
      <c r="I359" s="75">
        <v>15557</v>
      </c>
      <c r="J359" s="78"/>
      <c r="K359" s="78"/>
      <c r="L359" s="78"/>
      <c r="M359" s="75">
        <f>H359+J359+K359+L359</f>
        <v>232429</v>
      </c>
      <c r="N359" s="75">
        <f>I359+L359</f>
        <v>15557</v>
      </c>
      <c r="O359" s="78"/>
      <c r="P359" s="75"/>
      <c r="Q359" s="75"/>
      <c r="R359" s="79"/>
      <c r="S359" s="75">
        <f>M359+O359+P359+Q359+R359</f>
        <v>232429</v>
      </c>
      <c r="T359" s="75">
        <f>N359+R359</f>
        <v>15557</v>
      </c>
      <c r="U359" s="75"/>
      <c r="V359" s="75"/>
      <c r="W359" s="79"/>
      <c r="X359" s="79"/>
      <c r="Y359" s="79"/>
      <c r="Z359" s="79"/>
      <c r="AA359" s="79"/>
      <c r="AB359" s="75">
        <f>S359+U359+V359+W359+X359+Y359+Z359+AA359</f>
        <v>232429</v>
      </c>
      <c r="AC359" s="75">
        <f>T359+Z359+AA359</f>
        <v>15557</v>
      </c>
      <c r="AD359" s="75">
        <v>2</v>
      </c>
      <c r="AE359" s="75">
        <f>3024-135</f>
        <v>2889</v>
      </c>
      <c r="AF359" s="75">
        <v>-49880</v>
      </c>
      <c r="AG359" s="75"/>
      <c r="AH359" s="75"/>
      <c r="AI359" s="75">
        <f>AB359+AD359+AE359+AF359+AG359+AH359</f>
        <v>185440</v>
      </c>
      <c r="AJ359" s="75">
        <f>AC359+AH359</f>
        <v>15557</v>
      </c>
      <c r="AK359" s="79"/>
      <c r="AL359" s="75">
        <f>AI359+AK359</f>
        <v>185440</v>
      </c>
      <c r="AM359" s="75">
        <f>AJ359</f>
        <v>15557</v>
      </c>
      <c r="AN359" s="79"/>
      <c r="AO359" s="75">
        <v>2689</v>
      </c>
      <c r="AP359" s="75">
        <v>1</v>
      </c>
      <c r="AQ359" s="75">
        <v>-15227</v>
      </c>
      <c r="AR359" s="75">
        <f>AL359+AN359+AO359+AP359+AQ359</f>
        <v>172903</v>
      </c>
      <c r="AS359" s="75">
        <f>AM359+AQ359</f>
        <v>330</v>
      </c>
      <c r="AT359" s="76"/>
      <c r="AU359" s="76"/>
      <c r="AV359" s="76"/>
      <c r="AW359" s="76">
        <f>AV359+AU359+AT359+AR359</f>
        <v>172903</v>
      </c>
      <c r="AX359" s="76">
        <f>AV359+AS359</f>
        <v>330</v>
      </c>
      <c r="AY359" s="75">
        <v>-13264</v>
      </c>
      <c r="AZ359" s="75">
        <v>3367</v>
      </c>
      <c r="BA359" s="75"/>
      <c r="BB359" s="75"/>
      <c r="BC359" s="75"/>
      <c r="BD359" s="75">
        <f>AW359+AY359+AZ359+BA359+BB359+BC359</f>
        <v>163006</v>
      </c>
      <c r="BE359" s="75">
        <v>330</v>
      </c>
      <c r="BF359" s="79"/>
      <c r="BG359" s="79"/>
      <c r="BH359" s="79"/>
      <c r="BI359" s="75">
        <f>BD359+BF359+BG359+BH359</f>
        <v>163006</v>
      </c>
      <c r="BJ359" s="75">
        <f>BE359+BH359</f>
        <v>330</v>
      </c>
      <c r="BK359" s="75">
        <v>532</v>
      </c>
      <c r="BL359" s="78">
        <v>1</v>
      </c>
      <c r="BM359" s="78"/>
      <c r="BN359" s="78"/>
      <c r="BO359" s="75">
        <f>BI359+BK359+BL359+BM359+BN359</f>
        <v>163539</v>
      </c>
      <c r="BP359" s="75">
        <f>BJ359+BN359</f>
        <v>330</v>
      </c>
      <c r="BQ359" s="78">
        <v>-592</v>
      </c>
      <c r="BR359" s="78"/>
      <c r="BS359" s="78">
        <v>347</v>
      </c>
      <c r="BT359" s="78">
        <v>610</v>
      </c>
      <c r="BU359" s="75">
        <f>BO359+BQ359+BS359+BT359</f>
        <v>163904</v>
      </c>
      <c r="BV359" s="75">
        <f>BP359+BT359</f>
        <v>940</v>
      </c>
      <c r="BW359" s="75">
        <v>153468</v>
      </c>
      <c r="BX359" s="75">
        <v>940</v>
      </c>
      <c r="BY359" s="77">
        <f t="shared" si="460"/>
        <v>93.63285825849277</v>
      </c>
      <c r="BZ359" s="77">
        <f t="shared" si="463"/>
        <v>100</v>
      </c>
    </row>
    <row r="360" spans="1:78" s="25" customFormat="1" ht="21.75" customHeight="1" hidden="1">
      <c r="A360" s="168" t="s">
        <v>9</v>
      </c>
      <c r="B360" s="169" t="s">
        <v>148</v>
      </c>
      <c r="C360" s="169" t="s">
        <v>128</v>
      </c>
      <c r="D360" s="170" t="s">
        <v>116</v>
      </c>
      <c r="E360" s="169"/>
      <c r="F360" s="171">
        <f aca="true" t="shared" si="464" ref="F360:N360">F361+F363+F365</f>
        <v>0</v>
      </c>
      <c r="G360" s="171">
        <f t="shared" si="464"/>
        <v>15248</v>
      </c>
      <c r="H360" s="171">
        <f t="shared" si="464"/>
        <v>15248</v>
      </c>
      <c r="I360" s="171">
        <f t="shared" si="464"/>
        <v>15248</v>
      </c>
      <c r="J360" s="171">
        <f t="shared" si="464"/>
        <v>0</v>
      </c>
      <c r="K360" s="171">
        <f t="shared" si="464"/>
        <v>0</v>
      </c>
      <c r="L360" s="171">
        <f t="shared" si="464"/>
        <v>0</v>
      </c>
      <c r="M360" s="171">
        <f t="shared" si="464"/>
        <v>15248</v>
      </c>
      <c r="N360" s="171">
        <f t="shared" si="464"/>
        <v>15248</v>
      </c>
      <c r="O360" s="171">
        <f>O361+O363+O365</f>
        <v>0</v>
      </c>
      <c r="P360" s="171"/>
      <c r="Q360" s="171">
        <f>Q361+Q363+Q365</f>
        <v>0</v>
      </c>
      <c r="R360" s="171">
        <f>R361+R363+R365</f>
        <v>0</v>
      </c>
      <c r="S360" s="171">
        <f>S361+S363+S365</f>
        <v>15248</v>
      </c>
      <c r="T360" s="171">
        <f>T361+T363+T365</f>
        <v>15248</v>
      </c>
      <c r="U360" s="171">
        <f aca="true" t="shared" si="465" ref="U360:AC360">U361+U363+U365</f>
        <v>0</v>
      </c>
      <c r="V360" s="171">
        <f t="shared" si="465"/>
        <v>0</v>
      </c>
      <c r="W360" s="171">
        <f t="shared" si="465"/>
        <v>0</v>
      </c>
      <c r="X360" s="171">
        <f t="shared" si="465"/>
        <v>0</v>
      </c>
      <c r="Y360" s="171">
        <f t="shared" si="465"/>
        <v>0</v>
      </c>
      <c r="Z360" s="171">
        <f t="shared" si="465"/>
        <v>0</v>
      </c>
      <c r="AA360" s="171">
        <f t="shared" si="465"/>
        <v>-15248</v>
      </c>
      <c r="AB360" s="171">
        <f t="shared" si="465"/>
        <v>0</v>
      </c>
      <c r="AC360" s="171">
        <f t="shared" si="465"/>
        <v>0</v>
      </c>
      <c r="AD360" s="171"/>
      <c r="AE360" s="171"/>
      <c r="AF360" s="171"/>
      <c r="AG360" s="171"/>
      <c r="AH360" s="171"/>
      <c r="AI360" s="171"/>
      <c r="AJ360" s="171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3"/>
      <c r="AU360" s="173"/>
      <c r="AV360" s="173"/>
      <c r="AW360" s="173"/>
      <c r="AX360" s="173"/>
      <c r="AY360" s="171"/>
      <c r="AZ360" s="171"/>
      <c r="BA360" s="171"/>
      <c r="BB360" s="171"/>
      <c r="BC360" s="171"/>
      <c r="BD360" s="174"/>
      <c r="BE360" s="174"/>
      <c r="BF360" s="172"/>
      <c r="BG360" s="172"/>
      <c r="BH360" s="172"/>
      <c r="BI360" s="172"/>
      <c r="BJ360" s="172"/>
      <c r="BK360" s="174"/>
      <c r="BL360" s="174"/>
      <c r="BM360" s="174"/>
      <c r="BN360" s="174"/>
      <c r="BO360" s="174"/>
      <c r="BP360" s="174"/>
      <c r="BQ360" s="172"/>
      <c r="BR360" s="172"/>
      <c r="BS360" s="172"/>
      <c r="BT360" s="172"/>
      <c r="BU360" s="172"/>
      <c r="BV360" s="172"/>
      <c r="BW360" s="172"/>
      <c r="BX360" s="172"/>
      <c r="BY360" s="72" t="e">
        <f t="shared" si="460"/>
        <v>#DIV/0!</v>
      </c>
      <c r="BZ360" s="72" t="e">
        <f t="shared" si="463"/>
        <v>#DIV/0!</v>
      </c>
    </row>
    <row r="361" spans="1:78" s="25" customFormat="1" ht="33" customHeight="1" hidden="1">
      <c r="A361" s="168" t="s">
        <v>248</v>
      </c>
      <c r="B361" s="169" t="s">
        <v>148</v>
      </c>
      <c r="C361" s="169" t="s">
        <v>128</v>
      </c>
      <c r="D361" s="170" t="s">
        <v>249</v>
      </c>
      <c r="E361" s="169"/>
      <c r="F361" s="171">
        <f aca="true" t="shared" si="466" ref="F361:AC361">F362</f>
        <v>0</v>
      </c>
      <c r="G361" s="171">
        <f t="shared" si="466"/>
        <v>14866</v>
      </c>
      <c r="H361" s="171">
        <f t="shared" si="466"/>
        <v>14866</v>
      </c>
      <c r="I361" s="171">
        <f t="shared" si="466"/>
        <v>14866</v>
      </c>
      <c r="J361" s="171">
        <f t="shared" si="466"/>
        <v>0</v>
      </c>
      <c r="K361" s="171">
        <f t="shared" si="466"/>
        <v>0</v>
      </c>
      <c r="L361" s="171">
        <f t="shared" si="466"/>
        <v>0</v>
      </c>
      <c r="M361" s="171">
        <f t="shared" si="466"/>
        <v>14866</v>
      </c>
      <c r="N361" s="171">
        <f t="shared" si="466"/>
        <v>14866</v>
      </c>
      <c r="O361" s="171">
        <f t="shared" si="466"/>
        <v>0</v>
      </c>
      <c r="P361" s="171"/>
      <c r="Q361" s="171">
        <f t="shared" si="466"/>
        <v>0</v>
      </c>
      <c r="R361" s="171">
        <f t="shared" si="466"/>
        <v>0</v>
      </c>
      <c r="S361" s="171">
        <f t="shared" si="466"/>
        <v>14866</v>
      </c>
      <c r="T361" s="171">
        <f t="shared" si="466"/>
        <v>14866</v>
      </c>
      <c r="U361" s="171">
        <f t="shared" si="466"/>
        <v>0</v>
      </c>
      <c r="V361" s="171">
        <f t="shared" si="466"/>
        <v>0</v>
      </c>
      <c r="W361" s="171">
        <f t="shared" si="466"/>
        <v>0</v>
      </c>
      <c r="X361" s="171">
        <f t="shared" si="466"/>
        <v>0</v>
      </c>
      <c r="Y361" s="171">
        <f t="shared" si="466"/>
        <v>0</v>
      </c>
      <c r="Z361" s="171">
        <f t="shared" si="466"/>
        <v>0</v>
      </c>
      <c r="AA361" s="171">
        <f t="shared" si="466"/>
        <v>-14866</v>
      </c>
      <c r="AB361" s="171">
        <f t="shared" si="466"/>
        <v>0</v>
      </c>
      <c r="AC361" s="171">
        <f t="shared" si="466"/>
        <v>0</v>
      </c>
      <c r="AD361" s="171"/>
      <c r="AE361" s="171"/>
      <c r="AF361" s="171"/>
      <c r="AG361" s="171"/>
      <c r="AH361" s="171"/>
      <c r="AI361" s="171"/>
      <c r="AJ361" s="171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3"/>
      <c r="AU361" s="173"/>
      <c r="AV361" s="173"/>
      <c r="AW361" s="173"/>
      <c r="AX361" s="173"/>
      <c r="AY361" s="171"/>
      <c r="AZ361" s="171"/>
      <c r="BA361" s="171"/>
      <c r="BB361" s="171"/>
      <c r="BC361" s="171"/>
      <c r="BD361" s="174"/>
      <c r="BE361" s="174"/>
      <c r="BF361" s="172"/>
      <c r="BG361" s="172"/>
      <c r="BH361" s="172"/>
      <c r="BI361" s="172"/>
      <c r="BJ361" s="172"/>
      <c r="BK361" s="174"/>
      <c r="BL361" s="174"/>
      <c r="BM361" s="174"/>
      <c r="BN361" s="174"/>
      <c r="BO361" s="174"/>
      <c r="BP361" s="174"/>
      <c r="BQ361" s="172"/>
      <c r="BR361" s="172"/>
      <c r="BS361" s="172"/>
      <c r="BT361" s="172"/>
      <c r="BU361" s="172"/>
      <c r="BV361" s="172"/>
      <c r="BW361" s="172"/>
      <c r="BX361" s="172"/>
      <c r="BY361" s="72" t="e">
        <f t="shared" si="460"/>
        <v>#DIV/0!</v>
      </c>
      <c r="BZ361" s="72" t="e">
        <f t="shared" si="463"/>
        <v>#DIV/0!</v>
      </c>
    </row>
    <row r="362" spans="1:78" s="25" customFormat="1" ht="35.25" customHeight="1" hidden="1">
      <c r="A362" s="168" t="s">
        <v>129</v>
      </c>
      <c r="B362" s="169" t="s">
        <v>148</v>
      </c>
      <c r="C362" s="169" t="s">
        <v>128</v>
      </c>
      <c r="D362" s="170" t="s">
        <v>249</v>
      </c>
      <c r="E362" s="169" t="s">
        <v>130</v>
      </c>
      <c r="F362" s="171"/>
      <c r="G362" s="171">
        <f>H362-F362</f>
        <v>14866</v>
      </c>
      <c r="H362" s="171">
        <v>14866</v>
      </c>
      <c r="I362" s="171">
        <v>14866</v>
      </c>
      <c r="J362" s="174"/>
      <c r="K362" s="174"/>
      <c r="L362" s="174"/>
      <c r="M362" s="171">
        <f>H362+J362+K362+L362</f>
        <v>14866</v>
      </c>
      <c r="N362" s="171">
        <f>I362+L362</f>
        <v>14866</v>
      </c>
      <c r="O362" s="174"/>
      <c r="P362" s="174"/>
      <c r="Q362" s="172"/>
      <c r="R362" s="171"/>
      <c r="S362" s="171">
        <f>M362+O362+P362+Q362+R362</f>
        <v>14866</v>
      </c>
      <c r="T362" s="171">
        <f>N362+R362</f>
        <v>14866</v>
      </c>
      <c r="U362" s="172"/>
      <c r="V362" s="172"/>
      <c r="W362" s="172"/>
      <c r="X362" s="172"/>
      <c r="Y362" s="172"/>
      <c r="Z362" s="172"/>
      <c r="AA362" s="171">
        <v>-14866</v>
      </c>
      <c r="AB362" s="171">
        <f>S362+U362+V362+W362+X362+Y362+Z362+AA362</f>
        <v>0</v>
      </c>
      <c r="AC362" s="171">
        <f>T362+Z362+AA362</f>
        <v>0</v>
      </c>
      <c r="AD362" s="171"/>
      <c r="AE362" s="171"/>
      <c r="AF362" s="171"/>
      <c r="AG362" s="171"/>
      <c r="AH362" s="171"/>
      <c r="AI362" s="171"/>
      <c r="AJ362" s="171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3"/>
      <c r="AU362" s="173"/>
      <c r="AV362" s="173"/>
      <c r="AW362" s="173"/>
      <c r="AX362" s="173"/>
      <c r="AY362" s="171"/>
      <c r="AZ362" s="171"/>
      <c r="BA362" s="171"/>
      <c r="BB362" s="171"/>
      <c r="BC362" s="171"/>
      <c r="BD362" s="174"/>
      <c r="BE362" s="174"/>
      <c r="BF362" s="172"/>
      <c r="BG362" s="172"/>
      <c r="BH362" s="172"/>
      <c r="BI362" s="172"/>
      <c r="BJ362" s="172"/>
      <c r="BK362" s="174"/>
      <c r="BL362" s="174"/>
      <c r="BM362" s="174"/>
      <c r="BN362" s="174"/>
      <c r="BO362" s="174"/>
      <c r="BP362" s="174"/>
      <c r="BQ362" s="172"/>
      <c r="BR362" s="172"/>
      <c r="BS362" s="172"/>
      <c r="BT362" s="172"/>
      <c r="BU362" s="172"/>
      <c r="BV362" s="172"/>
      <c r="BW362" s="172"/>
      <c r="BX362" s="172"/>
      <c r="BY362" s="72" t="e">
        <f t="shared" si="460"/>
        <v>#DIV/0!</v>
      </c>
      <c r="BZ362" s="72" t="e">
        <f t="shared" si="463"/>
        <v>#DIV/0!</v>
      </c>
    </row>
    <row r="363" spans="1:78" s="25" customFormat="1" ht="39.75" customHeight="1" hidden="1">
      <c r="A363" s="168" t="s">
        <v>250</v>
      </c>
      <c r="B363" s="169" t="s">
        <v>148</v>
      </c>
      <c r="C363" s="169" t="s">
        <v>128</v>
      </c>
      <c r="D363" s="170" t="s">
        <v>251</v>
      </c>
      <c r="E363" s="169"/>
      <c r="F363" s="171">
        <f aca="true" t="shared" si="467" ref="F363:AC363">F364</f>
        <v>0</v>
      </c>
      <c r="G363" s="171">
        <f t="shared" si="467"/>
        <v>46</v>
      </c>
      <c r="H363" s="171">
        <f t="shared" si="467"/>
        <v>46</v>
      </c>
      <c r="I363" s="171">
        <f t="shared" si="467"/>
        <v>46</v>
      </c>
      <c r="J363" s="171">
        <f t="shared" si="467"/>
        <v>0</v>
      </c>
      <c r="K363" s="171">
        <f t="shared" si="467"/>
        <v>0</v>
      </c>
      <c r="L363" s="171">
        <f t="shared" si="467"/>
        <v>0</v>
      </c>
      <c r="M363" s="171">
        <f t="shared" si="467"/>
        <v>46</v>
      </c>
      <c r="N363" s="171">
        <f t="shared" si="467"/>
        <v>46</v>
      </c>
      <c r="O363" s="171">
        <f t="shared" si="467"/>
        <v>0</v>
      </c>
      <c r="P363" s="171"/>
      <c r="Q363" s="171">
        <f t="shared" si="467"/>
        <v>0</v>
      </c>
      <c r="R363" s="171">
        <f t="shared" si="467"/>
        <v>0</v>
      </c>
      <c r="S363" s="171">
        <f t="shared" si="467"/>
        <v>46</v>
      </c>
      <c r="T363" s="171">
        <f t="shared" si="467"/>
        <v>46</v>
      </c>
      <c r="U363" s="171">
        <f t="shared" si="467"/>
        <v>0</v>
      </c>
      <c r="V363" s="171">
        <f t="shared" si="467"/>
        <v>0</v>
      </c>
      <c r="W363" s="171">
        <f t="shared" si="467"/>
        <v>0</v>
      </c>
      <c r="X363" s="171">
        <f t="shared" si="467"/>
        <v>0</v>
      </c>
      <c r="Y363" s="171">
        <f t="shared" si="467"/>
        <v>0</v>
      </c>
      <c r="Z363" s="171">
        <f t="shared" si="467"/>
        <v>0</v>
      </c>
      <c r="AA363" s="171">
        <f t="shared" si="467"/>
        <v>-46</v>
      </c>
      <c r="AB363" s="171">
        <f t="shared" si="467"/>
        <v>0</v>
      </c>
      <c r="AC363" s="171">
        <f t="shared" si="467"/>
        <v>0</v>
      </c>
      <c r="AD363" s="171"/>
      <c r="AE363" s="171"/>
      <c r="AF363" s="171"/>
      <c r="AG363" s="171"/>
      <c r="AH363" s="171"/>
      <c r="AI363" s="171"/>
      <c r="AJ363" s="171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3"/>
      <c r="AU363" s="173"/>
      <c r="AV363" s="173"/>
      <c r="AW363" s="173"/>
      <c r="AX363" s="173"/>
      <c r="AY363" s="171"/>
      <c r="AZ363" s="171"/>
      <c r="BA363" s="171"/>
      <c r="BB363" s="171"/>
      <c r="BC363" s="171"/>
      <c r="BD363" s="174"/>
      <c r="BE363" s="174"/>
      <c r="BF363" s="172"/>
      <c r="BG363" s="172"/>
      <c r="BH363" s="172"/>
      <c r="BI363" s="172"/>
      <c r="BJ363" s="172"/>
      <c r="BK363" s="174"/>
      <c r="BL363" s="174"/>
      <c r="BM363" s="174"/>
      <c r="BN363" s="174"/>
      <c r="BO363" s="174"/>
      <c r="BP363" s="174"/>
      <c r="BQ363" s="172"/>
      <c r="BR363" s="172"/>
      <c r="BS363" s="172"/>
      <c r="BT363" s="172"/>
      <c r="BU363" s="172"/>
      <c r="BV363" s="172"/>
      <c r="BW363" s="172"/>
      <c r="BX363" s="172"/>
      <c r="BY363" s="72" t="e">
        <f t="shared" si="460"/>
        <v>#DIV/0!</v>
      </c>
      <c r="BZ363" s="72" t="e">
        <f t="shared" si="463"/>
        <v>#DIV/0!</v>
      </c>
    </row>
    <row r="364" spans="1:78" s="25" customFormat="1" ht="39" customHeight="1" hidden="1">
      <c r="A364" s="168" t="s">
        <v>129</v>
      </c>
      <c r="B364" s="169" t="s">
        <v>148</v>
      </c>
      <c r="C364" s="169" t="s">
        <v>128</v>
      </c>
      <c r="D364" s="170" t="s">
        <v>251</v>
      </c>
      <c r="E364" s="169" t="s">
        <v>130</v>
      </c>
      <c r="F364" s="171"/>
      <c r="G364" s="171">
        <f>H364-F364</f>
        <v>46</v>
      </c>
      <c r="H364" s="171">
        <v>46</v>
      </c>
      <c r="I364" s="171">
        <v>46</v>
      </c>
      <c r="J364" s="174"/>
      <c r="K364" s="174"/>
      <c r="L364" s="174"/>
      <c r="M364" s="171">
        <f>H364+J364+K364+L364</f>
        <v>46</v>
      </c>
      <c r="N364" s="171">
        <f>I364+L364</f>
        <v>46</v>
      </c>
      <c r="O364" s="174"/>
      <c r="P364" s="174"/>
      <c r="Q364" s="172"/>
      <c r="R364" s="174"/>
      <c r="S364" s="171">
        <f>M364+O364+P364+Q364+R364</f>
        <v>46</v>
      </c>
      <c r="T364" s="171">
        <f>N364+R364</f>
        <v>46</v>
      </c>
      <c r="U364" s="172"/>
      <c r="V364" s="172"/>
      <c r="W364" s="172"/>
      <c r="X364" s="172"/>
      <c r="Y364" s="172"/>
      <c r="Z364" s="172"/>
      <c r="AA364" s="171">
        <v>-46</v>
      </c>
      <c r="AB364" s="171">
        <f>S364+U364+V364+W364+X364+Y364+Z364+AA364</f>
        <v>0</v>
      </c>
      <c r="AC364" s="171">
        <f>T364+Z364+AA364</f>
        <v>0</v>
      </c>
      <c r="AD364" s="171"/>
      <c r="AE364" s="171"/>
      <c r="AF364" s="171"/>
      <c r="AG364" s="171"/>
      <c r="AH364" s="171"/>
      <c r="AI364" s="171"/>
      <c r="AJ364" s="171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3"/>
      <c r="AU364" s="173"/>
      <c r="AV364" s="173"/>
      <c r="AW364" s="173"/>
      <c r="AX364" s="173"/>
      <c r="AY364" s="171"/>
      <c r="AZ364" s="171"/>
      <c r="BA364" s="171"/>
      <c r="BB364" s="171"/>
      <c r="BC364" s="171"/>
      <c r="BD364" s="174"/>
      <c r="BE364" s="174"/>
      <c r="BF364" s="172"/>
      <c r="BG364" s="172"/>
      <c r="BH364" s="172"/>
      <c r="BI364" s="172"/>
      <c r="BJ364" s="172"/>
      <c r="BK364" s="174"/>
      <c r="BL364" s="174"/>
      <c r="BM364" s="174"/>
      <c r="BN364" s="174"/>
      <c r="BO364" s="174"/>
      <c r="BP364" s="174"/>
      <c r="BQ364" s="172"/>
      <c r="BR364" s="172"/>
      <c r="BS364" s="172"/>
      <c r="BT364" s="172"/>
      <c r="BU364" s="172"/>
      <c r="BV364" s="172"/>
      <c r="BW364" s="172"/>
      <c r="BX364" s="172"/>
      <c r="BY364" s="72" t="e">
        <f t="shared" si="460"/>
        <v>#DIV/0!</v>
      </c>
      <c r="BZ364" s="72" t="e">
        <f t="shared" si="463"/>
        <v>#DIV/0!</v>
      </c>
    </row>
    <row r="365" spans="1:78" s="25" customFormat="1" ht="72.75" customHeight="1" hidden="1">
      <c r="A365" s="168" t="s">
        <v>252</v>
      </c>
      <c r="B365" s="169" t="s">
        <v>148</v>
      </c>
      <c r="C365" s="169" t="s">
        <v>128</v>
      </c>
      <c r="D365" s="170" t="s">
        <v>253</v>
      </c>
      <c r="E365" s="169"/>
      <c r="F365" s="171">
        <f aca="true" t="shared" si="468" ref="F365:AC365">F366</f>
        <v>0</v>
      </c>
      <c r="G365" s="171">
        <f t="shared" si="468"/>
        <v>336</v>
      </c>
      <c r="H365" s="171">
        <f t="shared" si="468"/>
        <v>336</v>
      </c>
      <c r="I365" s="171">
        <f t="shared" si="468"/>
        <v>336</v>
      </c>
      <c r="J365" s="171">
        <f t="shared" si="468"/>
        <v>0</v>
      </c>
      <c r="K365" s="171">
        <f t="shared" si="468"/>
        <v>0</v>
      </c>
      <c r="L365" s="171">
        <f t="shared" si="468"/>
        <v>0</v>
      </c>
      <c r="M365" s="171">
        <f t="shared" si="468"/>
        <v>336</v>
      </c>
      <c r="N365" s="171">
        <f t="shared" si="468"/>
        <v>336</v>
      </c>
      <c r="O365" s="171">
        <f t="shared" si="468"/>
        <v>0</v>
      </c>
      <c r="P365" s="171"/>
      <c r="Q365" s="171">
        <f t="shared" si="468"/>
        <v>0</v>
      </c>
      <c r="R365" s="171">
        <f t="shared" si="468"/>
        <v>0</v>
      </c>
      <c r="S365" s="171">
        <f t="shared" si="468"/>
        <v>336</v>
      </c>
      <c r="T365" s="171">
        <f t="shared" si="468"/>
        <v>336</v>
      </c>
      <c r="U365" s="171">
        <f t="shared" si="468"/>
        <v>0</v>
      </c>
      <c r="V365" s="171">
        <f t="shared" si="468"/>
        <v>0</v>
      </c>
      <c r="W365" s="171">
        <f t="shared" si="468"/>
        <v>0</v>
      </c>
      <c r="X365" s="171">
        <f t="shared" si="468"/>
        <v>0</v>
      </c>
      <c r="Y365" s="171">
        <f t="shared" si="468"/>
        <v>0</v>
      </c>
      <c r="Z365" s="171">
        <f t="shared" si="468"/>
        <v>0</v>
      </c>
      <c r="AA365" s="171">
        <f t="shared" si="468"/>
        <v>-336</v>
      </c>
      <c r="AB365" s="171">
        <f t="shared" si="468"/>
        <v>0</v>
      </c>
      <c r="AC365" s="171">
        <f t="shared" si="468"/>
        <v>0</v>
      </c>
      <c r="AD365" s="171"/>
      <c r="AE365" s="171"/>
      <c r="AF365" s="171"/>
      <c r="AG365" s="171"/>
      <c r="AH365" s="171"/>
      <c r="AI365" s="171"/>
      <c r="AJ365" s="171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3"/>
      <c r="AU365" s="173"/>
      <c r="AV365" s="173"/>
      <c r="AW365" s="173"/>
      <c r="AX365" s="173"/>
      <c r="AY365" s="171"/>
      <c r="AZ365" s="171"/>
      <c r="BA365" s="171"/>
      <c r="BB365" s="171"/>
      <c r="BC365" s="171"/>
      <c r="BD365" s="174"/>
      <c r="BE365" s="174"/>
      <c r="BF365" s="172"/>
      <c r="BG365" s="172"/>
      <c r="BH365" s="172"/>
      <c r="BI365" s="172"/>
      <c r="BJ365" s="172"/>
      <c r="BK365" s="174"/>
      <c r="BL365" s="174"/>
      <c r="BM365" s="174"/>
      <c r="BN365" s="174"/>
      <c r="BO365" s="174"/>
      <c r="BP365" s="174"/>
      <c r="BQ365" s="172"/>
      <c r="BR365" s="172"/>
      <c r="BS365" s="172"/>
      <c r="BT365" s="172"/>
      <c r="BU365" s="172"/>
      <c r="BV365" s="172"/>
      <c r="BW365" s="172"/>
      <c r="BX365" s="172"/>
      <c r="BY365" s="72" t="e">
        <f t="shared" si="460"/>
        <v>#DIV/0!</v>
      </c>
      <c r="BZ365" s="72" t="e">
        <f t="shared" si="463"/>
        <v>#DIV/0!</v>
      </c>
    </row>
    <row r="366" spans="1:78" s="25" customFormat="1" ht="39" customHeight="1" hidden="1">
      <c r="A366" s="168" t="s">
        <v>129</v>
      </c>
      <c r="B366" s="169" t="s">
        <v>148</v>
      </c>
      <c r="C366" s="169" t="s">
        <v>128</v>
      </c>
      <c r="D366" s="170" t="s">
        <v>253</v>
      </c>
      <c r="E366" s="169" t="s">
        <v>130</v>
      </c>
      <c r="F366" s="171"/>
      <c r="G366" s="171">
        <f>H366-F366</f>
        <v>336</v>
      </c>
      <c r="H366" s="171">
        <v>336</v>
      </c>
      <c r="I366" s="171">
        <v>336</v>
      </c>
      <c r="J366" s="174"/>
      <c r="K366" s="174"/>
      <c r="L366" s="174"/>
      <c r="M366" s="171">
        <f>H366+J366+K366+L366</f>
        <v>336</v>
      </c>
      <c r="N366" s="171">
        <f>I366+L366</f>
        <v>336</v>
      </c>
      <c r="O366" s="174"/>
      <c r="P366" s="174"/>
      <c r="Q366" s="172"/>
      <c r="R366" s="174"/>
      <c r="S366" s="171">
        <f>M366+O366+P366+Q366+R366</f>
        <v>336</v>
      </c>
      <c r="T366" s="171">
        <f>N366+R366</f>
        <v>336</v>
      </c>
      <c r="U366" s="172"/>
      <c r="V366" s="172"/>
      <c r="W366" s="172"/>
      <c r="X366" s="172"/>
      <c r="Y366" s="172"/>
      <c r="Z366" s="172"/>
      <c r="AA366" s="171">
        <v>-336</v>
      </c>
      <c r="AB366" s="171">
        <f>S366+U366+V366+W366+X366+Y366+Z366+AA366</f>
        <v>0</v>
      </c>
      <c r="AC366" s="171">
        <f>T366+Z366+AA366</f>
        <v>0</v>
      </c>
      <c r="AD366" s="171"/>
      <c r="AE366" s="171"/>
      <c r="AF366" s="171"/>
      <c r="AG366" s="171"/>
      <c r="AH366" s="171"/>
      <c r="AI366" s="171"/>
      <c r="AJ366" s="171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3"/>
      <c r="AU366" s="173"/>
      <c r="AV366" s="173"/>
      <c r="AW366" s="173"/>
      <c r="AX366" s="173"/>
      <c r="AY366" s="171"/>
      <c r="AZ366" s="171"/>
      <c r="BA366" s="171"/>
      <c r="BB366" s="171"/>
      <c r="BC366" s="171"/>
      <c r="BD366" s="174"/>
      <c r="BE366" s="174"/>
      <c r="BF366" s="172"/>
      <c r="BG366" s="172"/>
      <c r="BH366" s="172"/>
      <c r="BI366" s="172"/>
      <c r="BJ366" s="172"/>
      <c r="BK366" s="174"/>
      <c r="BL366" s="174"/>
      <c r="BM366" s="174"/>
      <c r="BN366" s="174"/>
      <c r="BO366" s="174"/>
      <c r="BP366" s="174"/>
      <c r="BQ366" s="172"/>
      <c r="BR366" s="172"/>
      <c r="BS366" s="172"/>
      <c r="BT366" s="172"/>
      <c r="BU366" s="172"/>
      <c r="BV366" s="172"/>
      <c r="BW366" s="172"/>
      <c r="BX366" s="172"/>
      <c r="BY366" s="72" t="e">
        <f t="shared" si="460"/>
        <v>#DIV/0!</v>
      </c>
      <c r="BZ366" s="72" t="e">
        <f t="shared" si="463"/>
        <v>#DIV/0!</v>
      </c>
    </row>
    <row r="367" spans="1:78" s="14" customFormat="1" ht="12.75" customHeight="1">
      <c r="A367" s="88"/>
      <c r="B367" s="89"/>
      <c r="C367" s="89"/>
      <c r="D367" s="90"/>
      <c r="E367" s="89"/>
      <c r="F367" s="75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9"/>
      <c r="R367" s="79"/>
      <c r="S367" s="75"/>
      <c r="T367" s="75"/>
      <c r="U367" s="79"/>
      <c r="V367" s="79"/>
      <c r="W367" s="79"/>
      <c r="X367" s="79"/>
      <c r="Y367" s="79"/>
      <c r="Z367" s="79"/>
      <c r="AA367" s="79"/>
      <c r="AB367" s="79"/>
      <c r="AC367" s="79"/>
      <c r="AD367" s="75"/>
      <c r="AE367" s="75"/>
      <c r="AF367" s="75"/>
      <c r="AG367" s="75"/>
      <c r="AH367" s="75"/>
      <c r="AI367" s="75"/>
      <c r="AJ367" s="75"/>
      <c r="AK367" s="79"/>
      <c r="AL367" s="79"/>
      <c r="AM367" s="79"/>
      <c r="AN367" s="79"/>
      <c r="AO367" s="79"/>
      <c r="AP367" s="79"/>
      <c r="AQ367" s="79"/>
      <c r="AR367" s="79"/>
      <c r="AS367" s="79"/>
      <c r="AT367" s="81"/>
      <c r="AU367" s="81"/>
      <c r="AV367" s="81"/>
      <c r="AW367" s="81"/>
      <c r="AX367" s="81"/>
      <c r="AY367" s="75"/>
      <c r="AZ367" s="75"/>
      <c r="BA367" s="75"/>
      <c r="BB367" s="75"/>
      <c r="BC367" s="75"/>
      <c r="BD367" s="78"/>
      <c r="BE367" s="78"/>
      <c r="BF367" s="79"/>
      <c r="BG367" s="79"/>
      <c r="BH367" s="79"/>
      <c r="BI367" s="79"/>
      <c r="BJ367" s="79"/>
      <c r="BK367" s="78"/>
      <c r="BL367" s="78"/>
      <c r="BM367" s="78"/>
      <c r="BN367" s="78"/>
      <c r="BO367" s="78"/>
      <c r="BP367" s="78"/>
      <c r="BQ367" s="79"/>
      <c r="BR367" s="79"/>
      <c r="BS367" s="79"/>
      <c r="BT367" s="79"/>
      <c r="BU367" s="79"/>
      <c r="BV367" s="79"/>
      <c r="BW367" s="79"/>
      <c r="BX367" s="79"/>
      <c r="BY367" s="72"/>
      <c r="BZ367" s="72"/>
    </row>
    <row r="368" spans="1:78" s="14" customFormat="1" ht="21.75" customHeight="1">
      <c r="A368" s="66" t="s">
        <v>0</v>
      </c>
      <c r="B368" s="67" t="s">
        <v>148</v>
      </c>
      <c r="C368" s="67" t="s">
        <v>135</v>
      </c>
      <c r="D368" s="85"/>
      <c r="E368" s="67"/>
      <c r="F368" s="86">
        <f aca="true" t="shared" si="469" ref="F368:N368">F369+F371</f>
        <v>215370</v>
      </c>
      <c r="G368" s="86">
        <f t="shared" si="469"/>
        <v>49299</v>
      </c>
      <c r="H368" s="86">
        <f t="shared" si="469"/>
        <v>264669</v>
      </c>
      <c r="I368" s="86">
        <f t="shared" si="469"/>
        <v>25587</v>
      </c>
      <c r="J368" s="86">
        <f t="shared" si="469"/>
        <v>0</v>
      </c>
      <c r="K368" s="86">
        <f t="shared" si="469"/>
        <v>0</v>
      </c>
      <c r="L368" s="86">
        <f t="shared" si="469"/>
        <v>0</v>
      </c>
      <c r="M368" s="86">
        <f t="shared" si="469"/>
        <v>264669</v>
      </c>
      <c r="N368" s="86">
        <f t="shared" si="469"/>
        <v>25587</v>
      </c>
      <c r="O368" s="86">
        <f aca="true" t="shared" si="470" ref="O368:T368">O369+O371</f>
        <v>0</v>
      </c>
      <c r="P368" s="86">
        <f t="shared" si="470"/>
        <v>0</v>
      </c>
      <c r="Q368" s="86">
        <f t="shared" si="470"/>
        <v>0</v>
      </c>
      <c r="R368" s="86">
        <f t="shared" si="470"/>
        <v>0</v>
      </c>
      <c r="S368" s="86">
        <f t="shared" si="470"/>
        <v>264669</v>
      </c>
      <c r="T368" s="86">
        <f t="shared" si="470"/>
        <v>25587</v>
      </c>
      <c r="U368" s="86">
        <f aca="true" t="shared" si="471" ref="U368:AC368">U369+U371</f>
        <v>0</v>
      </c>
      <c r="V368" s="86">
        <f t="shared" si="471"/>
        <v>0</v>
      </c>
      <c r="W368" s="86">
        <f t="shared" si="471"/>
        <v>0</v>
      </c>
      <c r="X368" s="86">
        <f t="shared" si="471"/>
        <v>0</v>
      </c>
      <c r="Y368" s="86">
        <f t="shared" si="471"/>
        <v>0</v>
      </c>
      <c r="Z368" s="86">
        <f t="shared" si="471"/>
        <v>157</v>
      </c>
      <c r="AA368" s="86">
        <f t="shared" si="471"/>
        <v>-4036</v>
      </c>
      <c r="AB368" s="86">
        <f t="shared" si="471"/>
        <v>260790</v>
      </c>
      <c r="AC368" s="86">
        <f t="shared" si="471"/>
        <v>21708</v>
      </c>
      <c r="AD368" s="86">
        <f aca="true" t="shared" si="472" ref="AD368:AM368">AD369+AD371</f>
        <v>0</v>
      </c>
      <c r="AE368" s="86">
        <f t="shared" si="472"/>
        <v>218</v>
      </c>
      <c r="AF368" s="86">
        <f t="shared" si="472"/>
        <v>-2547</v>
      </c>
      <c r="AG368" s="86">
        <f t="shared" si="472"/>
        <v>0</v>
      </c>
      <c r="AH368" s="86">
        <f t="shared" si="472"/>
        <v>0</v>
      </c>
      <c r="AI368" s="86">
        <f t="shared" si="472"/>
        <v>258461</v>
      </c>
      <c r="AJ368" s="86">
        <f t="shared" si="472"/>
        <v>21708</v>
      </c>
      <c r="AK368" s="86">
        <f t="shared" si="472"/>
        <v>0</v>
      </c>
      <c r="AL368" s="86">
        <f t="shared" si="472"/>
        <v>258461</v>
      </c>
      <c r="AM368" s="86">
        <f t="shared" si="472"/>
        <v>21708</v>
      </c>
      <c r="AN368" s="86">
        <f aca="true" t="shared" si="473" ref="AN368:AS368">AN369+AN371</f>
        <v>0</v>
      </c>
      <c r="AO368" s="86">
        <f t="shared" si="473"/>
        <v>217</v>
      </c>
      <c r="AP368" s="86">
        <f t="shared" si="473"/>
        <v>0</v>
      </c>
      <c r="AQ368" s="86">
        <f t="shared" si="473"/>
        <v>-604</v>
      </c>
      <c r="AR368" s="86">
        <f t="shared" si="473"/>
        <v>258074</v>
      </c>
      <c r="AS368" s="86">
        <f t="shared" si="473"/>
        <v>21104</v>
      </c>
      <c r="AT368" s="87">
        <f aca="true" t="shared" si="474" ref="AT368:BE368">AT369+AT371</f>
        <v>0</v>
      </c>
      <c r="AU368" s="87">
        <f t="shared" si="474"/>
        <v>0</v>
      </c>
      <c r="AV368" s="87">
        <f t="shared" si="474"/>
        <v>0</v>
      </c>
      <c r="AW368" s="87">
        <f t="shared" si="474"/>
        <v>258074</v>
      </c>
      <c r="AX368" s="87">
        <f t="shared" si="474"/>
        <v>21104</v>
      </c>
      <c r="AY368" s="86">
        <f t="shared" si="474"/>
        <v>-1232</v>
      </c>
      <c r="AZ368" s="86">
        <f>AZ369+AZ371</f>
        <v>0</v>
      </c>
      <c r="BA368" s="86">
        <f>BA369+BA371</f>
        <v>0</v>
      </c>
      <c r="BB368" s="86">
        <f>BB369+BB371</f>
        <v>0</v>
      </c>
      <c r="BC368" s="86">
        <f t="shared" si="474"/>
        <v>0</v>
      </c>
      <c r="BD368" s="86">
        <f t="shared" si="474"/>
        <v>256842</v>
      </c>
      <c r="BE368" s="86">
        <f t="shared" si="474"/>
        <v>21104</v>
      </c>
      <c r="BF368" s="86">
        <f>BF369+BF371</f>
        <v>0</v>
      </c>
      <c r="BG368" s="86">
        <f>BG369+BG371</f>
        <v>0</v>
      </c>
      <c r="BH368" s="86">
        <f>BH369+BH371</f>
        <v>0</v>
      </c>
      <c r="BI368" s="86">
        <f>BI369+BI371</f>
        <v>256842</v>
      </c>
      <c r="BJ368" s="86">
        <f>BJ369+BJ371</f>
        <v>21104</v>
      </c>
      <c r="BK368" s="86">
        <f aca="true" t="shared" si="475" ref="BK368:BP368">BK369+BK371</f>
        <v>209</v>
      </c>
      <c r="BL368" s="86">
        <f t="shared" si="475"/>
        <v>0</v>
      </c>
      <c r="BM368" s="86">
        <f t="shared" si="475"/>
        <v>0</v>
      </c>
      <c r="BN368" s="86">
        <f t="shared" si="475"/>
        <v>0</v>
      </c>
      <c r="BO368" s="86">
        <f t="shared" si="475"/>
        <v>257051</v>
      </c>
      <c r="BP368" s="86">
        <f t="shared" si="475"/>
        <v>21104</v>
      </c>
      <c r="BQ368" s="86">
        <f>BQ369+BQ371</f>
        <v>-1</v>
      </c>
      <c r="BR368" s="86"/>
      <c r="BS368" s="86">
        <f aca="true" t="shared" si="476" ref="BS368:BX368">BS369+BS371</f>
        <v>0</v>
      </c>
      <c r="BT368" s="86">
        <f t="shared" si="476"/>
        <v>0</v>
      </c>
      <c r="BU368" s="86">
        <f t="shared" si="476"/>
        <v>257050</v>
      </c>
      <c r="BV368" s="86">
        <f t="shared" si="476"/>
        <v>21104</v>
      </c>
      <c r="BW368" s="86">
        <f t="shared" si="476"/>
        <v>255201</v>
      </c>
      <c r="BX368" s="86">
        <f t="shared" si="476"/>
        <v>19591</v>
      </c>
      <c r="BY368" s="71">
        <f>BW368/BU368*100</f>
        <v>99.28068469169422</v>
      </c>
      <c r="BZ368" s="71">
        <f>BX368/BV368*100</f>
        <v>92.83074298711145</v>
      </c>
    </row>
    <row r="369" spans="1:78" s="14" customFormat="1" ht="23.25" customHeight="1" hidden="1">
      <c r="A369" s="88" t="s">
        <v>104</v>
      </c>
      <c r="B369" s="89" t="s">
        <v>148</v>
      </c>
      <c r="C369" s="89" t="s">
        <v>135</v>
      </c>
      <c r="D369" s="90" t="s">
        <v>105</v>
      </c>
      <c r="E369" s="89"/>
      <c r="F369" s="91">
        <f aca="true" t="shared" si="477" ref="F369:BQ369">F370</f>
        <v>215370</v>
      </c>
      <c r="G369" s="91">
        <f t="shared" si="477"/>
        <v>23712</v>
      </c>
      <c r="H369" s="91">
        <f t="shared" si="477"/>
        <v>239082</v>
      </c>
      <c r="I369" s="91">
        <f t="shared" si="477"/>
        <v>0</v>
      </c>
      <c r="J369" s="91">
        <f t="shared" si="477"/>
        <v>0</v>
      </c>
      <c r="K369" s="91">
        <f t="shared" si="477"/>
        <v>0</v>
      </c>
      <c r="L369" s="91">
        <f t="shared" si="477"/>
        <v>0</v>
      </c>
      <c r="M369" s="91">
        <f t="shared" si="477"/>
        <v>239082</v>
      </c>
      <c r="N369" s="91">
        <f t="shared" si="477"/>
        <v>0</v>
      </c>
      <c r="O369" s="91">
        <f t="shared" si="477"/>
        <v>0</v>
      </c>
      <c r="P369" s="91">
        <f t="shared" si="477"/>
        <v>0</v>
      </c>
      <c r="Q369" s="91">
        <f t="shared" si="477"/>
        <v>0</v>
      </c>
      <c r="R369" s="91">
        <f t="shared" si="477"/>
        <v>0</v>
      </c>
      <c r="S369" s="91">
        <f t="shared" si="477"/>
        <v>239082</v>
      </c>
      <c r="T369" s="91">
        <f t="shared" si="477"/>
        <v>0</v>
      </c>
      <c r="U369" s="91">
        <f t="shared" si="477"/>
        <v>0</v>
      </c>
      <c r="V369" s="91">
        <f t="shared" si="477"/>
        <v>0</v>
      </c>
      <c r="W369" s="91">
        <f t="shared" si="477"/>
        <v>0</v>
      </c>
      <c r="X369" s="91">
        <f t="shared" si="477"/>
        <v>0</v>
      </c>
      <c r="Y369" s="91">
        <f t="shared" si="477"/>
        <v>0</v>
      </c>
      <c r="Z369" s="91">
        <f t="shared" si="477"/>
        <v>0</v>
      </c>
      <c r="AA369" s="91">
        <f t="shared" si="477"/>
        <v>0</v>
      </c>
      <c r="AB369" s="91">
        <f t="shared" si="477"/>
        <v>239082</v>
      </c>
      <c r="AC369" s="91">
        <f t="shared" si="477"/>
        <v>0</v>
      </c>
      <c r="AD369" s="91">
        <f t="shared" si="477"/>
        <v>0</v>
      </c>
      <c r="AE369" s="91">
        <f t="shared" si="477"/>
        <v>218</v>
      </c>
      <c r="AF369" s="91">
        <f t="shared" si="477"/>
        <v>-2547</v>
      </c>
      <c r="AG369" s="91">
        <f t="shared" si="477"/>
        <v>0</v>
      </c>
      <c r="AH369" s="91">
        <f t="shared" si="477"/>
        <v>0</v>
      </c>
      <c r="AI369" s="91">
        <f t="shared" si="477"/>
        <v>236753</v>
      </c>
      <c r="AJ369" s="91">
        <f t="shared" si="477"/>
        <v>0</v>
      </c>
      <c r="AK369" s="91">
        <f t="shared" si="477"/>
        <v>0</v>
      </c>
      <c r="AL369" s="91">
        <f t="shared" si="477"/>
        <v>236753</v>
      </c>
      <c r="AM369" s="91">
        <f t="shared" si="477"/>
        <v>0</v>
      </c>
      <c r="AN369" s="91">
        <f t="shared" si="477"/>
        <v>0</v>
      </c>
      <c r="AO369" s="91">
        <f t="shared" si="477"/>
        <v>217</v>
      </c>
      <c r="AP369" s="91">
        <f t="shared" si="477"/>
        <v>0</v>
      </c>
      <c r="AQ369" s="91">
        <f t="shared" si="477"/>
        <v>0</v>
      </c>
      <c r="AR369" s="91">
        <f t="shared" si="477"/>
        <v>236970</v>
      </c>
      <c r="AS369" s="91">
        <f t="shared" si="477"/>
        <v>0</v>
      </c>
      <c r="AT369" s="92">
        <f t="shared" si="477"/>
        <v>0</v>
      </c>
      <c r="AU369" s="92">
        <f t="shared" si="477"/>
        <v>0</v>
      </c>
      <c r="AV369" s="92">
        <f t="shared" si="477"/>
        <v>0</v>
      </c>
      <c r="AW369" s="92">
        <f t="shared" si="477"/>
        <v>236970</v>
      </c>
      <c r="AX369" s="92">
        <f t="shared" si="477"/>
        <v>0</v>
      </c>
      <c r="AY369" s="91">
        <f t="shared" si="477"/>
        <v>-1232</v>
      </c>
      <c r="AZ369" s="91">
        <f t="shared" si="477"/>
        <v>0</v>
      </c>
      <c r="BA369" s="91">
        <f t="shared" si="477"/>
        <v>0</v>
      </c>
      <c r="BB369" s="91">
        <f t="shared" si="477"/>
        <v>0</v>
      </c>
      <c r="BC369" s="91">
        <f t="shared" si="477"/>
        <v>0</v>
      </c>
      <c r="BD369" s="91">
        <f t="shared" si="477"/>
        <v>235738</v>
      </c>
      <c r="BE369" s="91">
        <f t="shared" si="477"/>
        <v>0</v>
      </c>
      <c r="BF369" s="91">
        <f t="shared" si="477"/>
        <v>0</v>
      </c>
      <c r="BG369" s="91">
        <f t="shared" si="477"/>
        <v>0</v>
      </c>
      <c r="BH369" s="91">
        <f t="shared" si="477"/>
        <v>0</v>
      </c>
      <c r="BI369" s="91">
        <f t="shared" si="477"/>
        <v>235738</v>
      </c>
      <c r="BJ369" s="91">
        <f t="shared" si="477"/>
        <v>0</v>
      </c>
      <c r="BK369" s="91">
        <f t="shared" si="477"/>
        <v>209</v>
      </c>
      <c r="BL369" s="91">
        <f t="shared" si="477"/>
        <v>0</v>
      </c>
      <c r="BM369" s="91">
        <f t="shared" si="477"/>
        <v>0</v>
      </c>
      <c r="BN369" s="91">
        <f t="shared" si="477"/>
        <v>0</v>
      </c>
      <c r="BO369" s="91">
        <f t="shared" si="477"/>
        <v>235947</v>
      </c>
      <c r="BP369" s="91">
        <f t="shared" si="477"/>
        <v>0</v>
      </c>
      <c r="BQ369" s="91">
        <f t="shared" si="477"/>
        <v>-1</v>
      </c>
      <c r="BR369" s="91"/>
      <c r="BS369" s="91">
        <f aca="true" t="shared" si="478" ref="BS369:BX369">BS370</f>
        <v>0</v>
      </c>
      <c r="BT369" s="91">
        <f t="shared" si="478"/>
        <v>0</v>
      </c>
      <c r="BU369" s="91">
        <f t="shared" si="478"/>
        <v>235946</v>
      </c>
      <c r="BV369" s="91">
        <f t="shared" si="478"/>
        <v>0</v>
      </c>
      <c r="BW369" s="91">
        <f t="shared" si="478"/>
        <v>235610</v>
      </c>
      <c r="BX369" s="91">
        <f t="shared" si="478"/>
        <v>0</v>
      </c>
      <c r="BY369" s="77">
        <f>BW369/BU369*100</f>
        <v>99.85759453434261</v>
      </c>
      <c r="BZ369" s="77"/>
    </row>
    <row r="370" spans="1:78" s="14" customFormat="1" ht="41.25" customHeight="1" hidden="1">
      <c r="A370" s="88" t="s">
        <v>129</v>
      </c>
      <c r="B370" s="89" t="s">
        <v>148</v>
      </c>
      <c r="C370" s="89" t="s">
        <v>135</v>
      </c>
      <c r="D370" s="90" t="s">
        <v>105</v>
      </c>
      <c r="E370" s="89" t="s">
        <v>130</v>
      </c>
      <c r="F370" s="75">
        <v>215370</v>
      </c>
      <c r="G370" s="75">
        <f>H370-F370</f>
        <v>23712</v>
      </c>
      <c r="H370" s="75">
        <v>239082</v>
      </c>
      <c r="I370" s="78"/>
      <c r="J370" s="78"/>
      <c r="K370" s="78"/>
      <c r="L370" s="78"/>
      <c r="M370" s="75">
        <f>H370+J370+K370+L370</f>
        <v>239082</v>
      </c>
      <c r="N370" s="78">
        <f>I370+L370</f>
        <v>0</v>
      </c>
      <c r="O370" s="78"/>
      <c r="P370" s="78"/>
      <c r="Q370" s="78"/>
      <c r="R370" s="79"/>
      <c r="S370" s="75">
        <f>M370+O370+P370+Q370+R370</f>
        <v>239082</v>
      </c>
      <c r="T370" s="75">
        <f>N370+R370</f>
        <v>0</v>
      </c>
      <c r="U370" s="79"/>
      <c r="V370" s="78"/>
      <c r="W370" s="79"/>
      <c r="X370" s="79"/>
      <c r="Y370" s="79"/>
      <c r="Z370" s="79"/>
      <c r="AA370" s="79"/>
      <c r="AB370" s="75">
        <f>S370+U370+V370+W370+X370+Y370+Z370+AA370</f>
        <v>239082</v>
      </c>
      <c r="AC370" s="75">
        <f>T370+Z370+AA370</f>
        <v>0</v>
      </c>
      <c r="AD370" s="75"/>
      <c r="AE370" s="75">
        <f>220-2</f>
        <v>218</v>
      </c>
      <c r="AF370" s="75">
        <v>-2547</v>
      </c>
      <c r="AG370" s="75"/>
      <c r="AH370" s="75"/>
      <c r="AI370" s="75">
        <f>AB370+AD370+AE370+AF370+AG370+AH370</f>
        <v>236753</v>
      </c>
      <c r="AJ370" s="75">
        <f>AC370+AH370</f>
        <v>0</v>
      </c>
      <c r="AK370" s="79"/>
      <c r="AL370" s="75">
        <f>AI370+AK370</f>
        <v>236753</v>
      </c>
      <c r="AM370" s="75">
        <f>AJ370</f>
        <v>0</v>
      </c>
      <c r="AN370" s="79"/>
      <c r="AO370" s="78">
        <v>217</v>
      </c>
      <c r="AP370" s="79"/>
      <c r="AQ370" s="79"/>
      <c r="AR370" s="75">
        <f>AL370+AN370+AO370+AP370+AQ370</f>
        <v>236970</v>
      </c>
      <c r="AS370" s="75">
        <f>AM370+AQ370</f>
        <v>0</v>
      </c>
      <c r="AT370" s="81"/>
      <c r="AU370" s="81"/>
      <c r="AV370" s="81"/>
      <c r="AW370" s="76">
        <f>AV370+AU370+AT370+AR370</f>
        <v>236970</v>
      </c>
      <c r="AX370" s="76">
        <f>AV370+AS370</f>
        <v>0</v>
      </c>
      <c r="AY370" s="75">
        <v>-1232</v>
      </c>
      <c r="AZ370" s="75"/>
      <c r="BA370" s="75"/>
      <c r="BB370" s="75"/>
      <c r="BC370" s="75"/>
      <c r="BD370" s="75">
        <f>AW370+AY370+AZ370+BA370+BB370+BC370</f>
        <v>235738</v>
      </c>
      <c r="BE370" s="75">
        <f>AX370+BC370</f>
        <v>0</v>
      </c>
      <c r="BF370" s="79"/>
      <c r="BG370" s="79"/>
      <c r="BH370" s="79"/>
      <c r="BI370" s="75">
        <f>BD370+BF370+BG370+BH370</f>
        <v>235738</v>
      </c>
      <c r="BJ370" s="75">
        <f>BE370+BH370</f>
        <v>0</v>
      </c>
      <c r="BK370" s="78">
        <v>209</v>
      </c>
      <c r="BL370" s="78"/>
      <c r="BM370" s="78"/>
      <c r="BN370" s="78"/>
      <c r="BO370" s="75">
        <f>BI370+BK370+BL370+BM370+BN370</f>
        <v>235947</v>
      </c>
      <c r="BP370" s="75">
        <f>BJ370+BN370</f>
        <v>0</v>
      </c>
      <c r="BQ370" s="78">
        <v>-1</v>
      </c>
      <c r="BR370" s="78"/>
      <c r="BS370" s="79"/>
      <c r="BT370" s="79"/>
      <c r="BU370" s="75">
        <f>BO370+BQ370+BS370+BT370</f>
        <v>235946</v>
      </c>
      <c r="BV370" s="75">
        <f>BP370+BT370</f>
        <v>0</v>
      </c>
      <c r="BW370" s="75">
        <v>235610</v>
      </c>
      <c r="BX370" s="75">
        <f>BR370+BV370</f>
        <v>0</v>
      </c>
      <c r="BY370" s="77">
        <f>BW370/BU370*100</f>
        <v>99.85759453434261</v>
      </c>
      <c r="BZ370" s="77"/>
    </row>
    <row r="371" spans="1:78" s="14" customFormat="1" ht="35.25" customHeight="1" hidden="1">
      <c r="A371" s="88" t="s">
        <v>231</v>
      </c>
      <c r="B371" s="89" t="s">
        <v>148</v>
      </c>
      <c r="C371" s="89" t="s">
        <v>135</v>
      </c>
      <c r="D371" s="90" t="s">
        <v>232</v>
      </c>
      <c r="E371" s="89"/>
      <c r="F371" s="75">
        <f>F372</f>
        <v>0</v>
      </c>
      <c r="G371" s="75">
        <f aca="true" t="shared" si="479" ref="G371:V372">G372</f>
        <v>25587</v>
      </c>
      <c r="H371" s="75">
        <f t="shared" si="479"/>
        <v>25587</v>
      </c>
      <c r="I371" s="75">
        <f t="shared" si="479"/>
        <v>25587</v>
      </c>
      <c r="J371" s="75">
        <f t="shared" si="479"/>
        <v>0</v>
      </c>
      <c r="K371" s="75">
        <f t="shared" si="479"/>
        <v>0</v>
      </c>
      <c r="L371" s="75">
        <f t="shared" si="479"/>
        <v>0</v>
      </c>
      <c r="M371" s="75">
        <f t="shared" si="479"/>
        <v>25587</v>
      </c>
      <c r="N371" s="75">
        <f t="shared" si="479"/>
        <v>25587</v>
      </c>
      <c r="O371" s="75">
        <f t="shared" si="479"/>
        <v>0</v>
      </c>
      <c r="P371" s="75"/>
      <c r="Q371" s="75">
        <f t="shared" si="479"/>
        <v>0</v>
      </c>
      <c r="R371" s="75">
        <f t="shared" si="479"/>
        <v>0</v>
      </c>
      <c r="S371" s="75">
        <f t="shared" si="479"/>
        <v>25587</v>
      </c>
      <c r="T371" s="75">
        <f t="shared" si="479"/>
        <v>25587</v>
      </c>
      <c r="U371" s="75">
        <f t="shared" si="479"/>
        <v>0</v>
      </c>
      <c r="V371" s="75">
        <f t="shared" si="479"/>
        <v>0</v>
      </c>
      <c r="W371" s="75">
        <f aca="true" t="shared" si="480" ref="W371:AL372">W372</f>
        <v>0</v>
      </c>
      <c r="X371" s="75">
        <f t="shared" si="480"/>
        <v>0</v>
      </c>
      <c r="Y371" s="75">
        <f t="shared" si="480"/>
        <v>0</v>
      </c>
      <c r="Z371" s="75">
        <f t="shared" si="480"/>
        <v>157</v>
      </c>
      <c r="AA371" s="75">
        <f t="shared" si="480"/>
        <v>-4036</v>
      </c>
      <c r="AB371" s="75">
        <f t="shared" si="480"/>
        <v>21708</v>
      </c>
      <c r="AC371" s="75">
        <f t="shared" si="480"/>
        <v>21708</v>
      </c>
      <c r="AD371" s="75">
        <f t="shared" si="480"/>
        <v>0</v>
      </c>
      <c r="AE371" s="75">
        <f t="shared" si="480"/>
        <v>0</v>
      </c>
      <c r="AF371" s="75">
        <f t="shared" si="480"/>
        <v>0</v>
      </c>
      <c r="AG371" s="75">
        <f t="shared" si="480"/>
        <v>0</v>
      </c>
      <c r="AH371" s="75">
        <f t="shared" si="480"/>
        <v>0</v>
      </c>
      <c r="AI371" s="75">
        <f t="shared" si="480"/>
        <v>21708</v>
      </c>
      <c r="AJ371" s="75">
        <f t="shared" si="480"/>
        <v>21708</v>
      </c>
      <c r="AK371" s="75">
        <f t="shared" si="480"/>
        <v>0</v>
      </c>
      <c r="AL371" s="75">
        <f t="shared" si="480"/>
        <v>21708</v>
      </c>
      <c r="AM371" s="75">
        <f>AM372</f>
        <v>21708</v>
      </c>
      <c r="AN371" s="75">
        <f aca="true" t="shared" si="481" ref="AN371:BF372">AN372</f>
        <v>0</v>
      </c>
      <c r="AO371" s="75">
        <f t="shared" si="481"/>
        <v>0</v>
      </c>
      <c r="AP371" s="75">
        <f t="shared" si="481"/>
        <v>0</v>
      </c>
      <c r="AQ371" s="75">
        <f t="shared" si="481"/>
        <v>-604</v>
      </c>
      <c r="AR371" s="75">
        <f t="shared" si="481"/>
        <v>21104</v>
      </c>
      <c r="AS371" s="75">
        <f t="shared" si="481"/>
        <v>21104</v>
      </c>
      <c r="AT371" s="76">
        <f t="shared" si="481"/>
        <v>0</v>
      </c>
      <c r="AU371" s="76">
        <f t="shared" si="481"/>
        <v>0</v>
      </c>
      <c r="AV371" s="76">
        <f t="shared" si="481"/>
        <v>0</v>
      </c>
      <c r="AW371" s="76">
        <f t="shared" si="481"/>
        <v>21104</v>
      </c>
      <c r="AX371" s="76">
        <f t="shared" si="481"/>
        <v>21104</v>
      </c>
      <c r="AY371" s="75">
        <f t="shared" si="481"/>
        <v>0</v>
      </c>
      <c r="AZ371" s="75">
        <f t="shared" si="481"/>
        <v>0</v>
      </c>
      <c r="BA371" s="75">
        <f t="shared" si="481"/>
        <v>0</v>
      </c>
      <c r="BB371" s="75">
        <f t="shared" si="481"/>
        <v>0</v>
      </c>
      <c r="BC371" s="75">
        <f t="shared" si="481"/>
        <v>0</v>
      </c>
      <c r="BD371" s="75">
        <f t="shared" si="481"/>
        <v>21104</v>
      </c>
      <c r="BE371" s="75">
        <f t="shared" si="481"/>
        <v>21104</v>
      </c>
      <c r="BF371" s="75">
        <f t="shared" si="481"/>
        <v>0</v>
      </c>
      <c r="BG371" s="75">
        <f aca="true" t="shared" si="482" ref="BF371:BW372">BG372</f>
        <v>0</v>
      </c>
      <c r="BH371" s="75">
        <f t="shared" si="482"/>
        <v>0</v>
      </c>
      <c r="BI371" s="75">
        <f t="shared" si="482"/>
        <v>21104</v>
      </c>
      <c r="BJ371" s="75">
        <f t="shared" si="482"/>
        <v>21104</v>
      </c>
      <c r="BK371" s="75">
        <f t="shared" si="482"/>
        <v>0</v>
      </c>
      <c r="BL371" s="75">
        <f t="shared" si="482"/>
        <v>0</v>
      </c>
      <c r="BM371" s="75">
        <f t="shared" si="482"/>
        <v>0</v>
      </c>
      <c r="BN371" s="75">
        <f t="shared" si="482"/>
        <v>0</v>
      </c>
      <c r="BO371" s="75">
        <f t="shared" si="482"/>
        <v>21104</v>
      </c>
      <c r="BP371" s="75">
        <f t="shared" si="482"/>
        <v>21104</v>
      </c>
      <c r="BQ371" s="75">
        <f t="shared" si="482"/>
        <v>0</v>
      </c>
      <c r="BR371" s="75"/>
      <c r="BS371" s="75">
        <f t="shared" si="482"/>
        <v>0</v>
      </c>
      <c r="BT371" s="75">
        <f t="shared" si="482"/>
        <v>0</v>
      </c>
      <c r="BU371" s="75">
        <f t="shared" si="482"/>
        <v>21104</v>
      </c>
      <c r="BV371" s="75">
        <f t="shared" si="482"/>
        <v>21104</v>
      </c>
      <c r="BW371" s="75">
        <f t="shared" si="482"/>
        <v>19591</v>
      </c>
      <c r="BX371" s="75">
        <f>BX372</f>
        <v>19591</v>
      </c>
      <c r="BY371" s="77">
        <f>BW371/BU371*100</f>
        <v>92.83074298711145</v>
      </c>
      <c r="BZ371" s="77">
        <f>BX371/BV371*100</f>
        <v>92.83074298711145</v>
      </c>
    </row>
    <row r="372" spans="1:78" s="14" customFormat="1" ht="71.25" customHeight="1" hidden="1">
      <c r="A372" s="88" t="s">
        <v>246</v>
      </c>
      <c r="B372" s="89" t="s">
        <v>148</v>
      </c>
      <c r="C372" s="89" t="s">
        <v>135</v>
      </c>
      <c r="D372" s="90" t="s">
        <v>247</v>
      </c>
      <c r="E372" s="89"/>
      <c r="F372" s="75">
        <f>F373</f>
        <v>0</v>
      </c>
      <c r="G372" s="75">
        <f t="shared" si="479"/>
        <v>25587</v>
      </c>
      <c r="H372" s="75">
        <f t="shared" si="479"/>
        <v>25587</v>
      </c>
      <c r="I372" s="75">
        <f t="shared" si="479"/>
        <v>25587</v>
      </c>
      <c r="J372" s="75">
        <f t="shared" si="479"/>
        <v>0</v>
      </c>
      <c r="K372" s="75">
        <f t="shared" si="479"/>
        <v>0</v>
      </c>
      <c r="L372" s="75">
        <f t="shared" si="479"/>
        <v>0</v>
      </c>
      <c r="M372" s="75">
        <f t="shared" si="479"/>
        <v>25587</v>
      </c>
      <c r="N372" s="75">
        <f t="shared" si="479"/>
        <v>25587</v>
      </c>
      <c r="O372" s="75">
        <f t="shared" si="479"/>
        <v>0</v>
      </c>
      <c r="P372" s="75"/>
      <c r="Q372" s="75">
        <f t="shared" si="479"/>
        <v>0</v>
      </c>
      <c r="R372" s="75">
        <f t="shared" si="479"/>
        <v>0</v>
      </c>
      <c r="S372" s="75">
        <f t="shared" si="479"/>
        <v>25587</v>
      </c>
      <c r="T372" s="75">
        <f t="shared" si="479"/>
        <v>25587</v>
      </c>
      <c r="U372" s="75">
        <f t="shared" si="479"/>
        <v>0</v>
      </c>
      <c r="V372" s="75">
        <f t="shared" si="479"/>
        <v>0</v>
      </c>
      <c r="W372" s="75">
        <f t="shared" si="480"/>
        <v>0</v>
      </c>
      <c r="X372" s="75">
        <f t="shared" si="480"/>
        <v>0</v>
      </c>
      <c r="Y372" s="75">
        <f t="shared" si="480"/>
        <v>0</v>
      </c>
      <c r="Z372" s="75">
        <f t="shared" si="480"/>
        <v>157</v>
      </c>
      <c r="AA372" s="75">
        <f t="shared" si="480"/>
        <v>-4036</v>
      </c>
      <c r="AB372" s="75">
        <f t="shared" si="480"/>
        <v>21708</v>
      </c>
      <c r="AC372" s="75">
        <f t="shared" si="480"/>
        <v>21708</v>
      </c>
      <c r="AD372" s="75">
        <f t="shared" si="480"/>
        <v>0</v>
      </c>
      <c r="AE372" s="75">
        <f t="shared" si="480"/>
        <v>0</v>
      </c>
      <c r="AF372" s="75">
        <f t="shared" si="480"/>
        <v>0</v>
      </c>
      <c r="AG372" s="75">
        <f t="shared" si="480"/>
        <v>0</v>
      </c>
      <c r="AH372" s="75">
        <f t="shared" si="480"/>
        <v>0</v>
      </c>
      <c r="AI372" s="75">
        <f t="shared" si="480"/>
        <v>21708</v>
      </c>
      <c r="AJ372" s="75">
        <f t="shared" si="480"/>
        <v>21708</v>
      </c>
      <c r="AK372" s="75">
        <f t="shared" si="480"/>
        <v>0</v>
      </c>
      <c r="AL372" s="75">
        <f t="shared" si="480"/>
        <v>21708</v>
      </c>
      <c r="AM372" s="75">
        <f>AM373</f>
        <v>21708</v>
      </c>
      <c r="AN372" s="75">
        <f t="shared" si="481"/>
        <v>0</v>
      </c>
      <c r="AO372" s="75">
        <f t="shared" si="481"/>
        <v>0</v>
      </c>
      <c r="AP372" s="75">
        <f t="shared" si="481"/>
        <v>0</v>
      </c>
      <c r="AQ372" s="75">
        <f t="shared" si="481"/>
        <v>-604</v>
      </c>
      <c r="AR372" s="75">
        <f t="shared" si="481"/>
        <v>21104</v>
      </c>
      <c r="AS372" s="75">
        <f t="shared" si="481"/>
        <v>21104</v>
      </c>
      <c r="AT372" s="76">
        <f t="shared" si="481"/>
        <v>0</v>
      </c>
      <c r="AU372" s="76">
        <f t="shared" si="481"/>
        <v>0</v>
      </c>
      <c r="AV372" s="76">
        <f t="shared" si="481"/>
        <v>0</v>
      </c>
      <c r="AW372" s="76">
        <f t="shared" si="481"/>
        <v>21104</v>
      </c>
      <c r="AX372" s="76">
        <f t="shared" si="481"/>
        <v>21104</v>
      </c>
      <c r="AY372" s="75">
        <f t="shared" si="481"/>
        <v>0</v>
      </c>
      <c r="AZ372" s="75">
        <f t="shared" si="481"/>
        <v>0</v>
      </c>
      <c r="BA372" s="75">
        <f t="shared" si="481"/>
        <v>0</v>
      </c>
      <c r="BB372" s="75">
        <f t="shared" si="481"/>
        <v>0</v>
      </c>
      <c r="BC372" s="75">
        <f t="shared" si="481"/>
        <v>0</v>
      </c>
      <c r="BD372" s="75">
        <f t="shared" si="481"/>
        <v>21104</v>
      </c>
      <c r="BE372" s="75">
        <f t="shared" si="481"/>
        <v>21104</v>
      </c>
      <c r="BF372" s="75">
        <f t="shared" si="482"/>
        <v>0</v>
      </c>
      <c r="BG372" s="75">
        <f t="shared" si="482"/>
        <v>0</v>
      </c>
      <c r="BH372" s="75">
        <f t="shared" si="482"/>
        <v>0</v>
      </c>
      <c r="BI372" s="75">
        <f t="shared" si="482"/>
        <v>21104</v>
      </c>
      <c r="BJ372" s="75">
        <f t="shared" si="482"/>
        <v>21104</v>
      </c>
      <c r="BK372" s="75">
        <f t="shared" si="482"/>
        <v>0</v>
      </c>
      <c r="BL372" s="75">
        <f t="shared" si="482"/>
        <v>0</v>
      </c>
      <c r="BM372" s="75">
        <f t="shared" si="482"/>
        <v>0</v>
      </c>
      <c r="BN372" s="75">
        <f t="shared" si="482"/>
        <v>0</v>
      </c>
      <c r="BO372" s="75">
        <f t="shared" si="482"/>
        <v>21104</v>
      </c>
      <c r="BP372" s="75">
        <f t="shared" si="482"/>
        <v>21104</v>
      </c>
      <c r="BQ372" s="75">
        <f t="shared" si="482"/>
        <v>0</v>
      </c>
      <c r="BR372" s="75"/>
      <c r="BS372" s="75">
        <f t="shared" si="482"/>
        <v>0</v>
      </c>
      <c r="BT372" s="75">
        <f t="shared" si="482"/>
        <v>0</v>
      </c>
      <c r="BU372" s="75">
        <f t="shared" si="482"/>
        <v>21104</v>
      </c>
      <c r="BV372" s="75">
        <f t="shared" si="482"/>
        <v>21104</v>
      </c>
      <c r="BW372" s="75">
        <f>BW373</f>
        <v>19591</v>
      </c>
      <c r="BX372" s="75">
        <f>BX373</f>
        <v>19591</v>
      </c>
      <c r="BY372" s="77">
        <f>BW372/BU372*100</f>
        <v>92.83074298711145</v>
      </c>
      <c r="BZ372" s="77">
        <f>BX372/BV372*100</f>
        <v>92.83074298711145</v>
      </c>
    </row>
    <row r="373" spans="1:78" s="14" customFormat="1" ht="34.5" customHeight="1" hidden="1">
      <c r="A373" s="88" t="s">
        <v>129</v>
      </c>
      <c r="B373" s="89" t="s">
        <v>148</v>
      </c>
      <c r="C373" s="89" t="s">
        <v>135</v>
      </c>
      <c r="D373" s="90" t="s">
        <v>247</v>
      </c>
      <c r="E373" s="89" t="s">
        <v>130</v>
      </c>
      <c r="F373" s="75"/>
      <c r="G373" s="75">
        <f>H373-F373</f>
        <v>25587</v>
      </c>
      <c r="H373" s="75">
        <f>25487+100</f>
        <v>25587</v>
      </c>
      <c r="I373" s="75">
        <f>25487+100</f>
        <v>25587</v>
      </c>
      <c r="J373" s="78"/>
      <c r="K373" s="78"/>
      <c r="L373" s="78"/>
      <c r="M373" s="75">
        <f>H373+J373+K373+L373</f>
        <v>25587</v>
      </c>
      <c r="N373" s="75">
        <f>I373+L373</f>
        <v>25587</v>
      </c>
      <c r="O373" s="78"/>
      <c r="P373" s="78"/>
      <c r="Q373" s="79"/>
      <c r="R373" s="75"/>
      <c r="S373" s="75">
        <f>M373+O373+P373+Q373+R373</f>
        <v>25587</v>
      </c>
      <c r="T373" s="75">
        <f>N373+R373</f>
        <v>25587</v>
      </c>
      <c r="U373" s="79"/>
      <c r="V373" s="79"/>
      <c r="W373" s="79"/>
      <c r="X373" s="79"/>
      <c r="Y373" s="79"/>
      <c r="Z373" s="78">
        <v>157</v>
      </c>
      <c r="AA373" s="75">
        <v>-4036</v>
      </c>
      <c r="AB373" s="75">
        <f>S373+U373+V373+W373+X373+Y373+Z373+AA373</f>
        <v>21708</v>
      </c>
      <c r="AC373" s="75">
        <f>T373+Z373+AA373</f>
        <v>21708</v>
      </c>
      <c r="AD373" s="75"/>
      <c r="AE373" s="75"/>
      <c r="AF373" s="75"/>
      <c r="AG373" s="75"/>
      <c r="AH373" s="75"/>
      <c r="AI373" s="75">
        <f>AB373+AD373+AE373+AF373+AG373+AH373</f>
        <v>21708</v>
      </c>
      <c r="AJ373" s="75">
        <f>AC373+AH373</f>
        <v>21708</v>
      </c>
      <c r="AK373" s="79"/>
      <c r="AL373" s="75">
        <f>AI373+AK373</f>
        <v>21708</v>
      </c>
      <c r="AM373" s="75">
        <f>AJ373</f>
        <v>21708</v>
      </c>
      <c r="AN373" s="79"/>
      <c r="AO373" s="79"/>
      <c r="AP373" s="79"/>
      <c r="AQ373" s="78">
        <f>705-1309</f>
        <v>-604</v>
      </c>
      <c r="AR373" s="75">
        <f>AL373+AN373+AO373+AP373+AQ373</f>
        <v>21104</v>
      </c>
      <c r="AS373" s="75">
        <f>AM373+AQ373</f>
        <v>21104</v>
      </c>
      <c r="AT373" s="81"/>
      <c r="AU373" s="81"/>
      <c r="AV373" s="81"/>
      <c r="AW373" s="76">
        <f>AV373+AU373+AT373+AR373</f>
        <v>21104</v>
      </c>
      <c r="AX373" s="76">
        <f>AV373+AS373</f>
        <v>21104</v>
      </c>
      <c r="AY373" s="75"/>
      <c r="AZ373" s="75"/>
      <c r="BA373" s="75"/>
      <c r="BB373" s="75"/>
      <c r="BC373" s="75"/>
      <c r="BD373" s="75">
        <f>AW373+AY373+AZ373+BA373+BB373+BC373</f>
        <v>21104</v>
      </c>
      <c r="BE373" s="75">
        <v>21104</v>
      </c>
      <c r="BF373" s="79"/>
      <c r="BG373" s="79"/>
      <c r="BH373" s="79"/>
      <c r="BI373" s="75">
        <f>BD373+BF373+BG373+BH373</f>
        <v>21104</v>
      </c>
      <c r="BJ373" s="75">
        <f>BE373+BH373</f>
        <v>21104</v>
      </c>
      <c r="BK373" s="78"/>
      <c r="BL373" s="78"/>
      <c r="BM373" s="78"/>
      <c r="BN373" s="78"/>
      <c r="BO373" s="75">
        <f>BI373+BK373+BL373+BM373+BN373</f>
        <v>21104</v>
      </c>
      <c r="BP373" s="75">
        <f>BJ373+BN373</f>
        <v>21104</v>
      </c>
      <c r="BQ373" s="79"/>
      <c r="BR373" s="79"/>
      <c r="BS373" s="79"/>
      <c r="BT373" s="79"/>
      <c r="BU373" s="75">
        <f>BO373+BQ373+BS373+BT373</f>
        <v>21104</v>
      </c>
      <c r="BV373" s="75">
        <f>BP373+BT373</f>
        <v>21104</v>
      </c>
      <c r="BW373" s="75">
        <v>19591</v>
      </c>
      <c r="BX373" s="75">
        <v>19591</v>
      </c>
      <c r="BY373" s="77">
        <f>BW373/BU373*100</f>
        <v>92.83074298711145</v>
      </c>
      <c r="BZ373" s="77">
        <f>BX373/BV373*100</f>
        <v>92.83074298711145</v>
      </c>
    </row>
    <row r="374" spans="1:78" s="14" customFormat="1" ht="13.5" customHeight="1">
      <c r="A374" s="88"/>
      <c r="B374" s="89"/>
      <c r="C374" s="89"/>
      <c r="D374" s="90"/>
      <c r="E374" s="89"/>
      <c r="F374" s="75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9"/>
      <c r="R374" s="79"/>
      <c r="S374" s="75"/>
      <c r="T374" s="75"/>
      <c r="U374" s="79"/>
      <c r="V374" s="79"/>
      <c r="W374" s="79"/>
      <c r="X374" s="79"/>
      <c r="Y374" s="79"/>
      <c r="Z374" s="79"/>
      <c r="AA374" s="79"/>
      <c r="AB374" s="79"/>
      <c r="AC374" s="79"/>
      <c r="AD374" s="75"/>
      <c r="AE374" s="75"/>
      <c r="AF374" s="75"/>
      <c r="AG374" s="75"/>
      <c r="AH374" s="75"/>
      <c r="AI374" s="75"/>
      <c r="AJ374" s="75"/>
      <c r="AK374" s="79"/>
      <c r="AL374" s="79"/>
      <c r="AM374" s="79"/>
      <c r="AN374" s="79"/>
      <c r="AO374" s="79"/>
      <c r="AP374" s="79"/>
      <c r="AQ374" s="79"/>
      <c r="AR374" s="79"/>
      <c r="AS374" s="79"/>
      <c r="AT374" s="81"/>
      <c r="AU374" s="81"/>
      <c r="AV374" s="81"/>
      <c r="AW374" s="81"/>
      <c r="AX374" s="81"/>
      <c r="AY374" s="75"/>
      <c r="AZ374" s="75"/>
      <c r="BA374" s="75"/>
      <c r="BB374" s="75"/>
      <c r="BC374" s="75"/>
      <c r="BD374" s="78"/>
      <c r="BE374" s="78"/>
      <c r="BF374" s="79"/>
      <c r="BG374" s="79"/>
      <c r="BH374" s="79"/>
      <c r="BI374" s="79"/>
      <c r="BJ374" s="79"/>
      <c r="BK374" s="78"/>
      <c r="BL374" s="78"/>
      <c r="BM374" s="78"/>
      <c r="BN374" s="78"/>
      <c r="BO374" s="78"/>
      <c r="BP374" s="78"/>
      <c r="BQ374" s="79"/>
      <c r="BR374" s="79"/>
      <c r="BS374" s="79"/>
      <c r="BT374" s="79"/>
      <c r="BU374" s="79"/>
      <c r="BV374" s="79"/>
      <c r="BW374" s="79"/>
      <c r="BX374" s="79"/>
      <c r="BY374" s="72"/>
      <c r="BZ374" s="72"/>
    </row>
    <row r="375" spans="1:78" s="11" customFormat="1" ht="24" customHeight="1">
      <c r="A375" s="66" t="s">
        <v>1</v>
      </c>
      <c r="B375" s="67" t="s">
        <v>148</v>
      </c>
      <c r="C375" s="67" t="s">
        <v>160</v>
      </c>
      <c r="D375" s="85"/>
      <c r="E375" s="67"/>
      <c r="F375" s="86">
        <f aca="true" t="shared" si="483" ref="F375:U376">F376</f>
        <v>84787</v>
      </c>
      <c r="G375" s="86">
        <f t="shared" si="483"/>
        <v>12823</v>
      </c>
      <c r="H375" s="86">
        <f t="shared" si="483"/>
        <v>97610</v>
      </c>
      <c r="I375" s="86">
        <f t="shared" si="483"/>
        <v>200</v>
      </c>
      <c r="J375" s="86">
        <f t="shared" si="483"/>
        <v>0</v>
      </c>
      <c r="K375" s="86">
        <f t="shared" si="483"/>
        <v>0</v>
      </c>
      <c r="L375" s="86">
        <f t="shared" si="483"/>
        <v>0</v>
      </c>
      <c r="M375" s="86">
        <f t="shared" si="483"/>
        <v>97610</v>
      </c>
      <c r="N375" s="86">
        <f t="shared" si="483"/>
        <v>200</v>
      </c>
      <c r="O375" s="86">
        <f t="shared" si="483"/>
        <v>0</v>
      </c>
      <c r="P375" s="86">
        <f t="shared" si="483"/>
        <v>0</v>
      </c>
      <c r="Q375" s="86">
        <f t="shared" si="483"/>
        <v>0</v>
      </c>
      <c r="R375" s="86">
        <f t="shared" si="483"/>
        <v>0</v>
      </c>
      <c r="S375" s="86">
        <f t="shared" si="483"/>
        <v>97610</v>
      </c>
      <c r="T375" s="86">
        <f t="shared" si="483"/>
        <v>200</v>
      </c>
      <c r="U375" s="86">
        <f t="shared" si="483"/>
        <v>0</v>
      </c>
      <c r="V375" s="86">
        <f aca="true" t="shared" si="484" ref="U375:AK376">V376</f>
        <v>0</v>
      </c>
      <c r="W375" s="86">
        <f t="shared" si="484"/>
        <v>0</v>
      </c>
      <c r="X375" s="86">
        <f t="shared" si="484"/>
        <v>0</v>
      </c>
      <c r="Y375" s="86">
        <f t="shared" si="484"/>
        <v>0</v>
      </c>
      <c r="Z375" s="86">
        <f t="shared" si="484"/>
        <v>0</v>
      </c>
      <c r="AA375" s="86">
        <f t="shared" si="484"/>
        <v>0</v>
      </c>
      <c r="AB375" s="86">
        <f t="shared" si="484"/>
        <v>97610</v>
      </c>
      <c r="AC375" s="86">
        <f t="shared" si="484"/>
        <v>200</v>
      </c>
      <c r="AD375" s="86">
        <f t="shared" si="484"/>
        <v>1</v>
      </c>
      <c r="AE375" s="86">
        <f t="shared" si="484"/>
        <v>234</v>
      </c>
      <c r="AF375" s="86">
        <f t="shared" si="484"/>
        <v>-5336</v>
      </c>
      <c r="AG375" s="86">
        <f t="shared" si="484"/>
        <v>0</v>
      </c>
      <c r="AH375" s="86">
        <f t="shared" si="484"/>
        <v>0</v>
      </c>
      <c r="AI375" s="86">
        <f t="shared" si="484"/>
        <v>92509</v>
      </c>
      <c r="AJ375" s="86">
        <f t="shared" si="484"/>
        <v>200</v>
      </c>
      <c r="AK375" s="86">
        <f t="shared" si="484"/>
        <v>0</v>
      </c>
      <c r="AL375" s="86">
        <f aca="true" t="shared" si="485" ref="AK375:AZ376">AL376</f>
        <v>92509</v>
      </c>
      <c r="AM375" s="86">
        <f t="shared" si="485"/>
        <v>200</v>
      </c>
      <c r="AN375" s="86">
        <f t="shared" si="485"/>
        <v>0</v>
      </c>
      <c r="AO375" s="86">
        <f t="shared" si="485"/>
        <v>233</v>
      </c>
      <c r="AP375" s="86">
        <f t="shared" si="485"/>
        <v>0</v>
      </c>
      <c r="AQ375" s="86">
        <f t="shared" si="485"/>
        <v>-200</v>
      </c>
      <c r="AR375" s="86">
        <f t="shared" si="485"/>
        <v>92542</v>
      </c>
      <c r="AS375" s="86">
        <f t="shared" si="485"/>
        <v>0</v>
      </c>
      <c r="AT375" s="87">
        <f t="shared" si="485"/>
        <v>0</v>
      </c>
      <c r="AU375" s="87">
        <f t="shared" si="485"/>
        <v>0</v>
      </c>
      <c r="AV375" s="87">
        <f t="shared" si="485"/>
        <v>0</v>
      </c>
      <c r="AW375" s="87">
        <f t="shared" si="485"/>
        <v>92542</v>
      </c>
      <c r="AX375" s="87">
        <f t="shared" si="485"/>
        <v>0</v>
      </c>
      <c r="AY375" s="86">
        <f t="shared" si="485"/>
        <v>-3385</v>
      </c>
      <c r="AZ375" s="86">
        <f t="shared" si="485"/>
        <v>0</v>
      </c>
      <c r="BA375" s="86">
        <f>BA376</f>
        <v>0</v>
      </c>
      <c r="BB375" s="86">
        <f>BB376</f>
        <v>0</v>
      </c>
      <c r="BC375" s="86">
        <f aca="true" t="shared" si="486" ref="AX375:BM376">BC376</f>
        <v>60</v>
      </c>
      <c r="BD375" s="86">
        <f t="shared" si="486"/>
        <v>89217</v>
      </c>
      <c r="BE375" s="86">
        <f t="shared" si="486"/>
        <v>60</v>
      </c>
      <c r="BF375" s="86">
        <f t="shared" si="486"/>
        <v>0</v>
      </c>
      <c r="BG375" s="86">
        <f t="shared" si="486"/>
        <v>0</v>
      </c>
      <c r="BH375" s="86">
        <f t="shared" si="486"/>
        <v>0</v>
      </c>
      <c r="BI375" s="86">
        <f t="shared" si="486"/>
        <v>89217</v>
      </c>
      <c r="BJ375" s="86">
        <f t="shared" si="486"/>
        <v>60</v>
      </c>
      <c r="BK375" s="86">
        <f t="shared" si="486"/>
        <v>222</v>
      </c>
      <c r="BL375" s="86">
        <f t="shared" si="486"/>
        <v>0</v>
      </c>
      <c r="BM375" s="86">
        <f t="shared" si="486"/>
        <v>0</v>
      </c>
      <c r="BN375" s="86">
        <f aca="true" t="shared" si="487" ref="BK375:BX376">BN376</f>
        <v>0</v>
      </c>
      <c r="BO375" s="86">
        <f t="shared" si="487"/>
        <v>89439</v>
      </c>
      <c r="BP375" s="86">
        <f t="shared" si="487"/>
        <v>60</v>
      </c>
      <c r="BQ375" s="86">
        <f t="shared" si="487"/>
        <v>-96</v>
      </c>
      <c r="BR375" s="86"/>
      <c r="BS375" s="86">
        <f t="shared" si="487"/>
        <v>0</v>
      </c>
      <c r="BT375" s="86">
        <f t="shared" si="487"/>
        <v>0</v>
      </c>
      <c r="BU375" s="86">
        <f t="shared" si="487"/>
        <v>89343</v>
      </c>
      <c r="BV375" s="86">
        <f t="shared" si="487"/>
        <v>60</v>
      </c>
      <c r="BW375" s="86">
        <f t="shared" si="487"/>
        <v>86484</v>
      </c>
      <c r="BX375" s="86">
        <f t="shared" si="487"/>
        <v>0</v>
      </c>
      <c r="BY375" s="71">
        <f aca="true" t="shared" si="488" ref="BY375:BZ377">BW375/BU375*100</f>
        <v>96.79997313723516</v>
      </c>
      <c r="BZ375" s="72">
        <f t="shared" si="488"/>
        <v>0</v>
      </c>
    </row>
    <row r="376" spans="1:78" s="21" customFormat="1" ht="22.5" customHeight="1" hidden="1">
      <c r="A376" s="88" t="s">
        <v>102</v>
      </c>
      <c r="B376" s="89" t="s">
        <v>148</v>
      </c>
      <c r="C376" s="89" t="s">
        <v>160</v>
      </c>
      <c r="D376" s="90" t="s">
        <v>103</v>
      </c>
      <c r="E376" s="89"/>
      <c r="F376" s="91">
        <f t="shared" si="483"/>
        <v>84787</v>
      </c>
      <c r="G376" s="91">
        <f t="shared" si="483"/>
        <v>12823</v>
      </c>
      <c r="H376" s="91">
        <f t="shared" si="483"/>
        <v>97610</v>
      </c>
      <c r="I376" s="91">
        <f t="shared" si="483"/>
        <v>200</v>
      </c>
      <c r="J376" s="91">
        <f t="shared" si="483"/>
        <v>0</v>
      </c>
      <c r="K376" s="91">
        <f t="shared" si="483"/>
        <v>0</v>
      </c>
      <c r="L376" s="91">
        <f t="shared" si="483"/>
        <v>0</v>
      </c>
      <c r="M376" s="91">
        <f t="shared" si="483"/>
        <v>97610</v>
      </c>
      <c r="N376" s="91">
        <f t="shared" si="483"/>
        <v>200</v>
      </c>
      <c r="O376" s="91">
        <f t="shared" si="483"/>
        <v>0</v>
      </c>
      <c r="P376" s="91">
        <f t="shared" si="483"/>
        <v>0</v>
      </c>
      <c r="Q376" s="91">
        <f t="shared" si="483"/>
        <v>0</v>
      </c>
      <c r="R376" s="91">
        <f t="shared" si="483"/>
        <v>0</v>
      </c>
      <c r="S376" s="91">
        <f t="shared" si="483"/>
        <v>97610</v>
      </c>
      <c r="T376" s="91">
        <f t="shared" si="483"/>
        <v>200</v>
      </c>
      <c r="U376" s="91">
        <f t="shared" si="484"/>
        <v>0</v>
      </c>
      <c r="V376" s="91">
        <f t="shared" si="484"/>
        <v>0</v>
      </c>
      <c r="W376" s="91">
        <f t="shared" si="484"/>
        <v>0</v>
      </c>
      <c r="X376" s="91">
        <f t="shared" si="484"/>
        <v>0</v>
      </c>
      <c r="Y376" s="91">
        <f t="shared" si="484"/>
        <v>0</v>
      </c>
      <c r="Z376" s="91">
        <f t="shared" si="484"/>
        <v>0</v>
      </c>
      <c r="AA376" s="91">
        <f t="shared" si="484"/>
        <v>0</v>
      </c>
      <c r="AB376" s="91">
        <f t="shared" si="484"/>
        <v>97610</v>
      </c>
      <c r="AC376" s="91">
        <f t="shared" si="484"/>
        <v>200</v>
      </c>
      <c r="AD376" s="91">
        <f t="shared" si="484"/>
        <v>1</v>
      </c>
      <c r="AE376" s="91">
        <f t="shared" si="484"/>
        <v>234</v>
      </c>
      <c r="AF376" s="91">
        <f t="shared" si="484"/>
        <v>-5336</v>
      </c>
      <c r="AG376" s="91">
        <f t="shared" si="484"/>
        <v>0</v>
      </c>
      <c r="AH376" s="91">
        <f t="shared" si="484"/>
        <v>0</v>
      </c>
      <c r="AI376" s="91">
        <f t="shared" si="484"/>
        <v>92509</v>
      </c>
      <c r="AJ376" s="91">
        <f t="shared" si="484"/>
        <v>200</v>
      </c>
      <c r="AK376" s="91">
        <f t="shared" si="485"/>
        <v>0</v>
      </c>
      <c r="AL376" s="91">
        <f t="shared" si="485"/>
        <v>92509</v>
      </c>
      <c r="AM376" s="91">
        <f t="shared" si="485"/>
        <v>200</v>
      </c>
      <c r="AN376" s="91">
        <f t="shared" si="485"/>
        <v>0</v>
      </c>
      <c r="AO376" s="91">
        <f t="shared" si="485"/>
        <v>233</v>
      </c>
      <c r="AP376" s="91">
        <f t="shared" si="485"/>
        <v>0</v>
      </c>
      <c r="AQ376" s="91">
        <f t="shared" si="485"/>
        <v>-200</v>
      </c>
      <c r="AR376" s="91">
        <f t="shared" si="485"/>
        <v>92542</v>
      </c>
      <c r="AS376" s="91">
        <f t="shared" si="485"/>
        <v>0</v>
      </c>
      <c r="AT376" s="92">
        <f t="shared" si="485"/>
        <v>0</v>
      </c>
      <c r="AU376" s="92">
        <f t="shared" si="485"/>
        <v>0</v>
      </c>
      <c r="AV376" s="92">
        <f t="shared" si="485"/>
        <v>0</v>
      </c>
      <c r="AW376" s="92">
        <f t="shared" si="485"/>
        <v>92542</v>
      </c>
      <c r="AX376" s="92">
        <f t="shared" si="486"/>
        <v>0</v>
      </c>
      <c r="AY376" s="91">
        <f t="shared" si="486"/>
        <v>-3385</v>
      </c>
      <c r="AZ376" s="91">
        <f t="shared" si="486"/>
        <v>0</v>
      </c>
      <c r="BA376" s="91">
        <f t="shared" si="486"/>
        <v>0</v>
      </c>
      <c r="BB376" s="91">
        <f t="shared" si="486"/>
        <v>0</v>
      </c>
      <c r="BC376" s="91">
        <f t="shared" si="486"/>
        <v>60</v>
      </c>
      <c r="BD376" s="91">
        <f t="shared" si="486"/>
        <v>89217</v>
      </c>
      <c r="BE376" s="91">
        <f t="shared" si="486"/>
        <v>60</v>
      </c>
      <c r="BF376" s="91">
        <f t="shared" si="486"/>
        <v>0</v>
      </c>
      <c r="BG376" s="91">
        <f t="shared" si="486"/>
        <v>0</v>
      </c>
      <c r="BH376" s="91">
        <f t="shared" si="486"/>
        <v>0</v>
      </c>
      <c r="BI376" s="91">
        <f t="shared" si="486"/>
        <v>89217</v>
      </c>
      <c r="BJ376" s="91">
        <f t="shared" si="486"/>
        <v>60</v>
      </c>
      <c r="BK376" s="91">
        <f t="shared" si="487"/>
        <v>222</v>
      </c>
      <c r="BL376" s="91">
        <f t="shared" si="487"/>
        <v>0</v>
      </c>
      <c r="BM376" s="91">
        <f t="shared" si="487"/>
        <v>0</v>
      </c>
      <c r="BN376" s="91">
        <f t="shared" si="487"/>
        <v>0</v>
      </c>
      <c r="BO376" s="91">
        <f t="shared" si="487"/>
        <v>89439</v>
      </c>
      <c r="BP376" s="91">
        <f t="shared" si="487"/>
        <v>60</v>
      </c>
      <c r="BQ376" s="91">
        <f t="shared" si="487"/>
        <v>-96</v>
      </c>
      <c r="BR376" s="91"/>
      <c r="BS376" s="91">
        <f t="shared" si="487"/>
        <v>0</v>
      </c>
      <c r="BT376" s="91">
        <f t="shared" si="487"/>
        <v>0</v>
      </c>
      <c r="BU376" s="91">
        <f t="shared" si="487"/>
        <v>89343</v>
      </c>
      <c r="BV376" s="91">
        <f t="shared" si="487"/>
        <v>60</v>
      </c>
      <c r="BW376" s="91">
        <f t="shared" si="487"/>
        <v>86484</v>
      </c>
      <c r="BX376" s="91">
        <f t="shared" si="487"/>
        <v>0</v>
      </c>
      <c r="BY376" s="77">
        <f t="shared" si="488"/>
        <v>96.79997313723516</v>
      </c>
      <c r="BZ376" s="72">
        <f t="shared" si="488"/>
        <v>0</v>
      </c>
    </row>
    <row r="377" spans="1:78" s="11" customFormat="1" ht="33.75" hidden="1">
      <c r="A377" s="88" t="s">
        <v>129</v>
      </c>
      <c r="B377" s="89" t="s">
        <v>148</v>
      </c>
      <c r="C377" s="89" t="s">
        <v>160</v>
      </c>
      <c r="D377" s="90" t="s">
        <v>103</v>
      </c>
      <c r="E377" s="89" t="s">
        <v>130</v>
      </c>
      <c r="F377" s="75">
        <v>84787</v>
      </c>
      <c r="G377" s="75">
        <f>H377-F377</f>
        <v>12823</v>
      </c>
      <c r="H377" s="75">
        <v>97610</v>
      </c>
      <c r="I377" s="78">
        <v>200</v>
      </c>
      <c r="J377" s="62"/>
      <c r="K377" s="62"/>
      <c r="L377" s="62"/>
      <c r="M377" s="75">
        <f>H377+J377+K377+L377</f>
        <v>97610</v>
      </c>
      <c r="N377" s="78">
        <f>I377+L377</f>
        <v>200</v>
      </c>
      <c r="O377" s="62"/>
      <c r="P377" s="78"/>
      <c r="Q377" s="78"/>
      <c r="R377" s="63"/>
      <c r="S377" s="75">
        <f>M377+O377+P377+Q377+R377</f>
        <v>97610</v>
      </c>
      <c r="T377" s="75">
        <f>N377+R377</f>
        <v>200</v>
      </c>
      <c r="U377" s="62"/>
      <c r="V377" s="62"/>
      <c r="W377" s="63"/>
      <c r="X377" s="63"/>
      <c r="Y377" s="63"/>
      <c r="Z377" s="63"/>
      <c r="AA377" s="63"/>
      <c r="AB377" s="75">
        <f>S377+U377+V377+W377+X377+Y377+Z377+AA377</f>
        <v>97610</v>
      </c>
      <c r="AC377" s="75">
        <f>T377+Z377+AA377</f>
        <v>200</v>
      </c>
      <c r="AD377" s="61">
        <v>1</v>
      </c>
      <c r="AE377" s="61">
        <f>183+51</f>
        <v>234</v>
      </c>
      <c r="AF377" s="61">
        <v>-5336</v>
      </c>
      <c r="AG377" s="61"/>
      <c r="AH377" s="61"/>
      <c r="AI377" s="75">
        <f>AB377+AD377+AE377+AF377+AG377+AH377</f>
        <v>92509</v>
      </c>
      <c r="AJ377" s="75">
        <f>AC377+AH377</f>
        <v>200</v>
      </c>
      <c r="AK377" s="63"/>
      <c r="AL377" s="75">
        <f>AI377+AK377</f>
        <v>92509</v>
      </c>
      <c r="AM377" s="75">
        <f>AJ377</f>
        <v>200</v>
      </c>
      <c r="AN377" s="63"/>
      <c r="AO377" s="62">
        <v>233</v>
      </c>
      <c r="AP377" s="63"/>
      <c r="AQ377" s="78">
        <v>-200</v>
      </c>
      <c r="AR377" s="75">
        <f>AL377+AN377+AO377+AP377+AQ377</f>
        <v>92542</v>
      </c>
      <c r="AS377" s="75">
        <f>AM377+AQ377</f>
        <v>0</v>
      </c>
      <c r="AT377" s="81"/>
      <c r="AU377" s="81"/>
      <c r="AV377" s="81"/>
      <c r="AW377" s="76">
        <f>AV377+AU377+AT377+AR377</f>
        <v>92542</v>
      </c>
      <c r="AX377" s="76">
        <f>AV377+AS377</f>
        <v>0</v>
      </c>
      <c r="AY377" s="61">
        <v>-3385</v>
      </c>
      <c r="AZ377" s="61"/>
      <c r="BA377" s="61"/>
      <c r="BB377" s="61"/>
      <c r="BC377" s="75">
        <v>60</v>
      </c>
      <c r="BD377" s="75">
        <f>AW377+AY377+AZ377+BA377+BB377+BC377</f>
        <v>89217</v>
      </c>
      <c r="BE377" s="75">
        <v>60</v>
      </c>
      <c r="BF377" s="63"/>
      <c r="BG377" s="63"/>
      <c r="BH377" s="63"/>
      <c r="BI377" s="75">
        <f>BD377+BF377+BG377+BH377</f>
        <v>89217</v>
      </c>
      <c r="BJ377" s="75">
        <f>BE377+BH377</f>
        <v>60</v>
      </c>
      <c r="BK377" s="78">
        <v>222</v>
      </c>
      <c r="BL377" s="62"/>
      <c r="BM377" s="62"/>
      <c r="BN377" s="62"/>
      <c r="BO377" s="75">
        <f>BI377+BK377+BL377+BM377+BN377</f>
        <v>89439</v>
      </c>
      <c r="BP377" s="75">
        <f>BJ377+BN377</f>
        <v>60</v>
      </c>
      <c r="BQ377" s="78">
        <v>-96</v>
      </c>
      <c r="BR377" s="78"/>
      <c r="BS377" s="63"/>
      <c r="BT377" s="63"/>
      <c r="BU377" s="75">
        <f>BO377+BQ377+BS377+BT377</f>
        <v>89343</v>
      </c>
      <c r="BV377" s="75">
        <f>BP377+BT377</f>
        <v>60</v>
      </c>
      <c r="BW377" s="75">
        <v>86484</v>
      </c>
      <c r="BX377" s="75"/>
      <c r="BY377" s="77">
        <f t="shared" si="488"/>
        <v>96.79997313723516</v>
      </c>
      <c r="BZ377" s="72">
        <f t="shared" si="488"/>
        <v>0</v>
      </c>
    </row>
    <row r="378" spans="1:78" s="11" customFormat="1" ht="12" customHeight="1">
      <c r="A378" s="88"/>
      <c r="B378" s="89"/>
      <c r="C378" s="89"/>
      <c r="D378" s="90"/>
      <c r="E378" s="89"/>
      <c r="F378" s="61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3"/>
      <c r="R378" s="63"/>
      <c r="S378" s="61"/>
      <c r="T378" s="61"/>
      <c r="U378" s="63"/>
      <c r="V378" s="63"/>
      <c r="W378" s="63"/>
      <c r="X378" s="63"/>
      <c r="Y378" s="63"/>
      <c r="Z378" s="63"/>
      <c r="AA378" s="63"/>
      <c r="AB378" s="63"/>
      <c r="AC378" s="63"/>
      <c r="AD378" s="61"/>
      <c r="AE378" s="61"/>
      <c r="AF378" s="61"/>
      <c r="AG378" s="61"/>
      <c r="AH378" s="61"/>
      <c r="AI378" s="61"/>
      <c r="AJ378" s="61"/>
      <c r="AK378" s="63"/>
      <c r="AL378" s="63"/>
      <c r="AM378" s="63"/>
      <c r="AN378" s="63"/>
      <c r="AO378" s="63"/>
      <c r="AP378" s="63"/>
      <c r="AQ378" s="63"/>
      <c r="AR378" s="63"/>
      <c r="AS378" s="63"/>
      <c r="AT378" s="65"/>
      <c r="AU378" s="65"/>
      <c r="AV378" s="65"/>
      <c r="AW378" s="65"/>
      <c r="AX378" s="65"/>
      <c r="AY378" s="61"/>
      <c r="AZ378" s="61"/>
      <c r="BA378" s="61"/>
      <c r="BB378" s="61"/>
      <c r="BC378" s="61"/>
      <c r="BD378" s="62"/>
      <c r="BE378" s="62"/>
      <c r="BF378" s="63"/>
      <c r="BG378" s="63"/>
      <c r="BH378" s="63"/>
      <c r="BI378" s="63"/>
      <c r="BJ378" s="63"/>
      <c r="BK378" s="62"/>
      <c r="BL378" s="62"/>
      <c r="BM378" s="62"/>
      <c r="BN378" s="62"/>
      <c r="BO378" s="62"/>
      <c r="BP378" s="62"/>
      <c r="BQ378" s="63"/>
      <c r="BR378" s="63"/>
      <c r="BS378" s="63"/>
      <c r="BT378" s="63"/>
      <c r="BU378" s="63"/>
      <c r="BV378" s="63"/>
      <c r="BW378" s="63"/>
      <c r="BX378" s="63"/>
      <c r="BY378" s="72"/>
      <c r="BZ378" s="72"/>
    </row>
    <row r="379" spans="1:78" s="11" customFormat="1" ht="20.25" customHeight="1">
      <c r="A379" s="66" t="s">
        <v>4</v>
      </c>
      <c r="B379" s="67" t="s">
        <v>148</v>
      </c>
      <c r="C379" s="67" t="s">
        <v>155</v>
      </c>
      <c r="D379" s="85"/>
      <c r="E379" s="67"/>
      <c r="F379" s="86">
        <f aca="true" t="shared" si="489" ref="F379:M379">F380+F382+F384+F386</f>
        <v>58977</v>
      </c>
      <c r="G379" s="86">
        <f t="shared" si="489"/>
        <v>-10533</v>
      </c>
      <c r="H379" s="86">
        <f t="shared" si="489"/>
        <v>48444</v>
      </c>
      <c r="I379" s="86">
        <f t="shared" si="489"/>
        <v>0</v>
      </c>
      <c r="J379" s="86">
        <f t="shared" si="489"/>
        <v>0</v>
      </c>
      <c r="K379" s="86">
        <f t="shared" si="489"/>
        <v>0</v>
      </c>
      <c r="L379" s="86">
        <f t="shared" si="489"/>
        <v>0</v>
      </c>
      <c r="M379" s="86">
        <f t="shared" si="489"/>
        <v>48444</v>
      </c>
      <c r="N379" s="86">
        <f aca="true" t="shared" si="490" ref="N379:S379">N380+N382+N384+N386</f>
        <v>0</v>
      </c>
      <c r="O379" s="86">
        <f t="shared" si="490"/>
        <v>0</v>
      </c>
      <c r="P379" s="86">
        <f t="shared" si="490"/>
        <v>0</v>
      </c>
      <c r="Q379" s="86">
        <f t="shared" si="490"/>
        <v>0</v>
      </c>
      <c r="R379" s="86">
        <f t="shared" si="490"/>
        <v>0</v>
      </c>
      <c r="S379" s="86">
        <f t="shared" si="490"/>
        <v>48444</v>
      </c>
      <c r="T379" s="86">
        <f aca="true" t="shared" si="491" ref="T379:AC379">T380+T382+T384+T386</f>
        <v>0</v>
      </c>
      <c r="U379" s="86">
        <f t="shared" si="491"/>
        <v>0</v>
      </c>
      <c r="V379" s="86">
        <f t="shared" si="491"/>
        <v>0</v>
      </c>
      <c r="W379" s="86">
        <f t="shared" si="491"/>
        <v>0</v>
      </c>
      <c r="X379" s="86">
        <f t="shared" si="491"/>
        <v>0</v>
      </c>
      <c r="Y379" s="86">
        <f t="shared" si="491"/>
        <v>0</v>
      </c>
      <c r="Z379" s="86">
        <f t="shared" si="491"/>
        <v>0</v>
      </c>
      <c r="AA379" s="86">
        <f t="shared" si="491"/>
        <v>15500</v>
      </c>
      <c r="AB379" s="86">
        <f t="shared" si="491"/>
        <v>63944</v>
      </c>
      <c r="AC379" s="86">
        <f t="shared" si="491"/>
        <v>15500</v>
      </c>
      <c r="AD379" s="86">
        <f aca="true" t="shared" si="492" ref="AD379:AJ379">AD380+AD382+AD384+AD386</f>
        <v>4</v>
      </c>
      <c r="AE379" s="86">
        <f t="shared" si="492"/>
        <v>204</v>
      </c>
      <c r="AF379" s="86">
        <f t="shared" si="492"/>
        <v>-15885</v>
      </c>
      <c r="AG379" s="86">
        <f t="shared" si="492"/>
        <v>0</v>
      </c>
      <c r="AH379" s="86">
        <f t="shared" si="492"/>
        <v>0</v>
      </c>
      <c r="AI379" s="86">
        <f t="shared" si="492"/>
        <v>48267</v>
      </c>
      <c r="AJ379" s="86">
        <f t="shared" si="492"/>
        <v>15500</v>
      </c>
      <c r="AK379" s="86">
        <f aca="true" t="shared" si="493" ref="AK379:AS379">AK380+AK382+AK384+AK386</f>
        <v>0</v>
      </c>
      <c r="AL379" s="86">
        <f t="shared" si="493"/>
        <v>48267</v>
      </c>
      <c r="AM379" s="86">
        <f t="shared" si="493"/>
        <v>15500</v>
      </c>
      <c r="AN379" s="86">
        <f t="shared" si="493"/>
        <v>0</v>
      </c>
      <c r="AO379" s="86">
        <f>AO380+AO382+AO384+AO386</f>
        <v>193</v>
      </c>
      <c r="AP379" s="86">
        <f t="shared" si="493"/>
        <v>1</v>
      </c>
      <c r="AQ379" s="86">
        <f t="shared" si="493"/>
        <v>38465</v>
      </c>
      <c r="AR379" s="86">
        <f t="shared" si="493"/>
        <v>86926</v>
      </c>
      <c r="AS379" s="86">
        <f t="shared" si="493"/>
        <v>53965</v>
      </c>
      <c r="AT379" s="87">
        <f aca="true" t="shared" si="494" ref="AT379:BJ379">AT380+AT382+AT384+AT386</f>
        <v>-2577</v>
      </c>
      <c r="AU379" s="87">
        <f t="shared" si="494"/>
        <v>0</v>
      </c>
      <c r="AV379" s="87">
        <f t="shared" si="494"/>
        <v>0</v>
      </c>
      <c r="AW379" s="87">
        <f t="shared" si="494"/>
        <v>84349</v>
      </c>
      <c r="AX379" s="87">
        <f t="shared" si="494"/>
        <v>53965</v>
      </c>
      <c r="AY379" s="86">
        <f t="shared" si="494"/>
        <v>-6177</v>
      </c>
      <c r="AZ379" s="86">
        <f t="shared" si="494"/>
        <v>0</v>
      </c>
      <c r="BA379" s="86">
        <f t="shared" si="494"/>
        <v>0</v>
      </c>
      <c r="BB379" s="86">
        <f t="shared" si="494"/>
        <v>0</v>
      </c>
      <c r="BC379" s="86">
        <f t="shared" si="494"/>
        <v>0</v>
      </c>
      <c r="BD379" s="86">
        <f t="shared" si="494"/>
        <v>78172</v>
      </c>
      <c r="BE379" s="86">
        <f t="shared" si="494"/>
        <v>53965</v>
      </c>
      <c r="BF379" s="86">
        <f t="shared" si="494"/>
        <v>0</v>
      </c>
      <c r="BG379" s="86">
        <f t="shared" si="494"/>
        <v>0</v>
      </c>
      <c r="BH379" s="86">
        <f t="shared" si="494"/>
        <v>0</v>
      </c>
      <c r="BI379" s="86">
        <f t="shared" si="494"/>
        <v>78172</v>
      </c>
      <c r="BJ379" s="86">
        <f t="shared" si="494"/>
        <v>53965</v>
      </c>
      <c r="BK379" s="86">
        <f aca="true" t="shared" si="495" ref="BK379:BP379">BK380+BK382+BK384+BK386</f>
        <v>0</v>
      </c>
      <c r="BL379" s="86">
        <f t="shared" si="495"/>
        <v>0</v>
      </c>
      <c r="BM379" s="86">
        <f t="shared" si="495"/>
        <v>0</v>
      </c>
      <c r="BN379" s="86">
        <f t="shared" si="495"/>
        <v>0</v>
      </c>
      <c r="BO379" s="86">
        <f t="shared" si="495"/>
        <v>78172</v>
      </c>
      <c r="BP379" s="86">
        <f t="shared" si="495"/>
        <v>53965</v>
      </c>
      <c r="BQ379" s="86">
        <f>BQ380+BQ382+BQ384+BQ386</f>
        <v>0</v>
      </c>
      <c r="BR379" s="86"/>
      <c r="BS379" s="86">
        <f aca="true" t="shared" si="496" ref="BS379:BX379">BS380+BS382+BS384+BS386</f>
        <v>0</v>
      </c>
      <c r="BT379" s="86">
        <f t="shared" si="496"/>
        <v>0</v>
      </c>
      <c r="BU379" s="86">
        <f t="shared" si="496"/>
        <v>78172</v>
      </c>
      <c r="BV379" s="86">
        <f t="shared" si="496"/>
        <v>53965</v>
      </c>
      <c r="BW379" s="86">
        <f t="shared" si="496"/>
        <v>77463</v>
      </c>
      <c r="BX379" s="86">
        <f t="shared" si="496"/>
        <v>53895</v>
      </c>
      <c r="BY379" s="71">
        <f aca="true" t="shared" si="497" ref="BY379:BZ383">BW379/BU379*100</f>
        <v>99.09302563577752</v>
      </c>
      <c r="BZ379" s="71">
        <f t="shared" si="497"/>
        <v>99.87028629667377</v>
      </c>
    </row>
    <row r="380" spans="1:78" s="11" customFormat="1" ht="21" customHeight="1" hidden="1">
      <c r="A380" s="88" t="s">
        <v>152</v>
      </c>
      <c r="B380" s="89" t="s">
        <v>148</v>
      </c>
      <c r="C380" s="89" t="s">
        <v>155</v>
      </c>
      <c r="D380" s="90" t="s">
        <v>5</v>
      </c>
      <c r="E380" s="89"/>
      <c r="F380" s="91">
        <f>F381</f>
        <v>9542</v>
      </c>
      <c r="G380" s="91">
        <f>G381</f>
        <v>-5942</v>
      </c>
      <c r="H380" s="91">
        <f>H381</f>
        <v>3600</v>
      </c>
      <c r="I380" s="91">
        <f aca="true" t="shared" si="498" ref="I380:BW380">I381</f>
        <v>0</v>
      </c>
      <c r="J380" s="91">
        <f t="shared" si="498"/>
        <v>0</v>
      </c>
      <c r="K380" s="91">
        <f t="shared" si="498"/>
        <v>0</v>
      </c>
      <c r="L380" s="91">
        <f t="shared" si="498"/>
        <v>0</v>
      </c>
      <c r="M380" s="91">
        <f t="shared" si="498"/>
        <v>3600</v>
      </c>
      <c r="N380" s="91">
        <f t="shared" si="498"/>
        <v>0</v>
      </c>
      <c r="O380" s="91">
        <f t="shared" si="498"/>
        <v>0</v>
      </c>
      <c r="P380" s="91"/>
      <c r="Q380" s="91">
        <f t="shared" si="498"/>
        <v>0</v>
      </c>
      <c r="R380" s="91">
        <f t="shared" si="498"/>
        <v>0</v>
      </c>
      <c r="S380" s="91">
        <f t="shared" si="498"/>
        <v>3600</v>
      </c>
      <c r="T380" s="91">
        <f t="shared" si="498"/>
        <v>0</v>
      </c>
      <c r="U380" s="91">
        <f t="shared" si="498"/>
        <v>0</v>
      </c>
      <c r="V380" s="91">
        <f t="shared" si="498"/>
        <v>0</v>
      </c>
      <c r="W380" s="91">
        <f t="shared" si="498"/>
        <v>0</v>
      </c>
      <c r="X380" s="91">
        <f t="shared" si="498"/>
        <v>0</v>
      </c>
      <c r="Y380" s="91">
        <f t="shared" si="498"/>
        <v>0</v>
      </c>
      <c r="Z380" s="91">
        <f t="shared" si="498"/>
        <v>0</v>
      </c>
      <c r="AA380" s="91">
        <f t="shared" si="498"/>
        <v>0</v>
      </c>
      <c r="AB380" s="91">
        <f t="shared" si="498"/>
        <v>3600</v>
      </c>
      <c r="AC380" s="91">
        <f t="shared" si="498"/>
        <v>0</v>
      </c>
      <c r="AD380" s="91">
        <f t="shared" si="498"/>
        <v>0</v>
      </c>
      <c r="AE380" s="91">
        <f t="shared" si="498"/>
        <v>0</v>
      </c>
      <c r="AF380" s="91">
        <f t="shared" si="498"/>
        <v>3900</v>
      </c>
      <c r="AG380" s="91">
        <f t="shared" si="498"/>
        <v>0</v>
      </c>
      <c r="AH380" s="91">
        <f t="shared" si="498"/>
        <v>0</v>
      </c>
      <c r="AI380" s="91">
        <f t="shared" si="498"/>
        <v>7500</v>
      </c>
      <c r="AJ380" s="91">
        <f t="shared" si="498"/>
        <v>0</v>
      </c>
      <c r="AK380" s="91">
        <f t="shared" si="498"/>
        <v>0</v>
      </c>
      <c r="AL380" s="91">
        <f t="shared" si="498"/>
        <v>7500</v>
      </c>
      <c r="AM380" s="91">
        <f t="shared" si="498"/>
        <v>0</v>
      </c>
      <c r="AN380" s="91">
        <f t="shared" si="498"/>
        <v>0</v>
      </c>
      <c r="AO380" s="91">
        <f t="shared" si="498"/>
        <v>0</v>
      </c>
      <c r="AP380" s="91">
        <f t="shared" si="498"/>
        <v>0</v>
      </c>
      <c r="AQ380" s="91">
        <f t="shared" si="498"/>
        <v>0</v>
      </c>
      <c r="AR380" s="91">
        <f t="shared" si="498"/>
        <v>7500</v>
      </c>
      <c r="AS380" s="91">
        <f t="shared" si="498"/>
        <v>0</v>
      </c>
      <c r="AT380" s="92">
        <f t="shared" si="498"/>
        <v>-2577</v>
      </c>
      <c r="AU380" s="92">
        <f t="shared" si="498"/>
        <v>0</v>
      </c>
      <c r="AV380" s="92">
        <f t="shared" si="498"/>
        <v>0</v>
      </c>
      <c r="AW380" s="92">
        <f t="shared" si="498"/>
        <v>4923</v>
      </c>
      <c r="AX380" s="92">
        <f t="shared" si="498"/>
        <v>0</v>
      </c>
      <c r="AY380" s="91">
        <f t="shared" si="498"/>
        <v>-4923</v>
      </c>
      <c r="AZ380" s="91">
        <f t="shared" si="498"/>
        <v>0</v>
      </c>
      <c r="BA380" s="91"/>
      <c r="BB380" s="91"/>
      <c r="BC380" s="91">
        <f t="shared" si="498"/>
        <v>0</v>
      </c>
      <c r="BD380" s="91">
        <f t="shared" si="498"/>
        <v>0</v>
      </c>
      <c r="BE380" s="91">
        <f t="shared" si="498"/>
        <v>0</v>
      </c>
      <c r="BF380" s="91">
        <f t="shared" si="498"/>
        <v>0</v>
      </c>
      <c r="BG380" s="91">
        <f t="shared" si="498"/>
        <v>0</v>
      </c>
      <c r="BH380" s="91">
        <f t="shared" si="498"/>
        <v>0</v>
      </c>
      <c r="BI380" s="91">
        <f t="shared" si="498"/>
        <v>0</v>
      </c>
      <c r="BJ380" s="91">
        <f t="shared" si="498"/>
        <v>0</v>
      </c>
      <c r="BK380" s="91">
        <f t="shared" si="498"/>
        <v>0</v>
      </c>
      <c r="BL380" s="91">
        <f t="shared" si="498"/>
        <v>0</v>
      </c>
      <c r="BM380" s="91">
        <f t="shared" si="498"/>
        <v>0</v>
      </c>
      <c r="BN380" s="91">
        <f t="shared" si="498"/>
        <v>0</v>
      </c>
      <c r="BO380" s="91">
        <f t="shared" si="498"/>
        <v>0</v>
      </c>
      <c r="BP380" s="91">
        <f t="shared" si="498"/>
        <v>0</v>
      </c>
      <c r="BQ380" s="91">
        <f t="shared" si="498"/>
        <v>0</v>
      </c>
      <c r="BR380" s="91"/>
      <c r="BS380" s="91">
        <f t="shared" si="498"/>
        <v>0</v>
      </c>
      <c r="BT380" s="91">
        <f t="shared" si="498"/>
        <v>0</v>
      </c>
      <c r="BU380" s="91">
        <f t="shared" si="498"/>
        <v>0</v>
      </c>
      <c r="BV380" s="91">
        <f>BV381</f>
        <v>0</v>
      </c>
      <c r="BW380" s="91">
        <f t="shared" si="498"/>
        <v>0</v>
      </c>
      <c r="BX380" s="91">
        <f>BX381</f>
        <v>0</v>
      </c>
      <c r="BY380" s="72" t="e">
        <f t="shared" si="497"/>
        <v>#DIV/0!</v>
      </c>
      <c r="BZ380" s="72" t="e">
        <f t="shared" si="497"/>
        <v>#DIV/0!</v>
      </c>
    </row>
    <row r="381" spans="1:78" s="11" customFormat="1" ht="16.5" customHeight="1" hidden="1">
      <c r="A381" s="88" t="s">
        <v>360</v>
      </c>
      <c r="B381" s="89" t="s">
        <v>148</v>
      </c>
      <c r="C381" s="89" t="s">
        <v>155</v>
      </c>
      <c r="D381" s="90" t="s">
        <v>39</v>
      </c>
      <c r="E381" s="89" t="s">
        <v>153</v>
      </c>
      <c r="F381" s="75">
        <v>9542</v>
      </c>
      <c r="G381" s="75">
        <f>H381-F381</f>
        <v>-5942</v>
      </c>
      <c r="H381" s="75">
        <v>3600</v>
      </c>
      <c r="I381" s="62"/>
      <c r="J381" s="62"/>
      <c r="K381" s="62"/>
      <c r="L381" s="62"/>
      <c r="M381" s="75">
        <f>H381+J381+K381+L381</f>
        <v>3600</v>
      </c>
      <c r="N381" s="78">
        <f>I381+L381</f>
        <v>0</v>
      </c>
      <c r="O381" s="62"/>
      <c r="P381" s="62"/>
      <c r="Q381" s="63"/>
      <c r="R381" s="63"/>
      <c r="S381" s="75">
        <f>M381+O381+P381+Q381+R381</f>
        <v>3600</v>
      </c>
      <c r="T381" s="75">
        <f>N381+R381</f>
        <v>0</v>
      </c>
      <c r="U381" s="63"/>
      <c r="V381" s="63"/>
      <c r="W381" s="63"/>
      <c r="X381" s="63"/>
      <c r="Y381" s="63"/>
      <c r="Z381" s="63"/>
      <c r="AA381" s="63"/>
      <c r="AB381" s="75">
        <f>S381+U381+V381+W381+X381+Y381+Z381+AA381</f>
        <v>3600</v>
      </c>
      <c r="AC381" s="75">
        <f>T381+Z381+AA381</f>
        <v>0</v>
      </c>
      <c r="AD381" s="61"/>
      <c r="AE381" s="61"/>
      <c r="AF381" s="75">
        <f>-3600+7500</f>
        <v>3900</v>
      </c>
      <c r="AG381" s="61"/>
      <c r="AH381" s="61"/>
      <c r="AI381" s="75">
        <f>AB381+AD381+AE381+AF381+AG381+AH381</f>
        <v>7500</v>
      </c>
      <c r="AJ381" s="75">
        <f>AC381+AH381</f>
        <v>0</v>
      </c>
      <c r="AK381" s="63"/>
      <c r="AL381" s="75">
        <f>AI381+AK381</f>
        <v>7500</v>
      </c>
      <c r="AM381" s="75">
        <f>AJ381</f>
        <v>0</v>
      </c>
      <c r="AN381" s="63"/>
      <c r="AO381" s="63"/>
      <c r="AP381" s="63"/>
      <c r="AQ381" s="63"/>
      <c r="AR381" s="75">
        <f>AL381+AN381+AO381+AP381+AQ381</f>
        <v>7500</v>
      </c>
      <c r="AS381" s="75">
        <f>AM381+AQ381</f>
        <v>0</v>
      </c>
      <c r="AT381" s="65">
        <v>-2577</v>
      </c>
      <c r="AU381" s="65"/>
      <c r="AV381" s="65"/>
      <c r="AW381" s="76">
        <f>AV381+AU381+AT381+AR381</f>
        <v>4923</v>
      </c>
      <c r="AX381" s="76">
        <f>AV381+AS381</f>
        <v>0</v>
      </c>
      <c r="AY381" s="75">
        <v>-4923</v>
      </c>
      <c r="AZ381" s="61"/>
      <c r="BA381" s="61"/>
      <c r="BB381" s="61"/>
      <c r="BC381" s="61"/>
      <c r="BD381" s="75">
        <f>AW381+AY381+AZ381+BC381</f>
        <v>0</v>
      </c>
      <c r="BE381" s="75">
        <f>AX381+BC381</f>
        <v>0</v>
      </c>
      <c r="BF381" s="75"/>
      <c r="BG381" s="75">
        <f>AZ381+BE381</f>
        <v>0</v>
      </c>
      <c r="BH381" s="75">
        <f>BA381+BF381</f>
        <v>0</v>
      </c>
      <c r="BI381" s="75">
        <f>BB381+BG381</f>
        <v>0</v>
      </c>
      <c r="BJ381" s="75">
        <f>BC381+BH381</f>
        <v>0</v>
      </c>
      <c r="BK381" s="75">
        <f aca="true" t="shared" si="499" ref="BK381:BP381">BD381+BI381</f>
        <v>0</v>
      </c>
      <c r="BL381" s="75">
        <f t="shared" si="499"/>
        <v>0</v>
      </c>
      <c r="BM381" s="75">
        <f t="shared" si="499"/>
        <v>0</v>
      </c>
      <c r="BN381" s="75">
        <f t="shared" si="499"/>
        <v>0</v>
      </c>
      <c r="BO381" s="75">
        <f t="shared" si="499"/>
        <v>0</v>
      </c>
      <c r="BP381" s="75">
        <f t="shared" si="499"/>
        <v>0</v>
      </c>
      <c r="BQ381" s="75">
        <f>BJ381+BO381</f>
        <v>0</v>
      </c>
      <c r="BR381" s="75"/>
      <c r="BS381" s="75">
        <f>BK381+BP381</f>
        <v>0</v>
      </c>
      <c r="BT381" s="75">
        <f>BL381+BQ381</f>
        <v>0</v>
      </c>
      <c r="BU381" s="75">
        <f>BM381+BS381</f>
        <v>0</v>
      </c>
      <c r="BV381" s="75">
        <f>BN381+BT381</f>
        <v>0</v>
      </c>
      <c r="BW381" s="75">
        <f>BO381+BU381</f>
        <v>0</v>
      </c>
      <c r="BX381" s="75">
        <f>BP381+BV381</f>
        <v>0</v>
      </c>
      <c r="BY381" s="72" t="e">
        <f t="shared" si="497"/>
        <v>#DIV/0!</v>
      </c>
      <c r="BZ381" s="72" t="e">
        <f t="shared" si="497"/>
        <v>#DIV/0!</v>
      </c>
    </row>
    <row r="382" spans="1:78" s="11" customFormat="1" ht="33" hidden="1">
      <c r="A382" s="88" t="s">
        <v>108</v>
      </c>
      <c r="B382" s="89" t="s">
        <v>148</v>
      </c>
      <c r="C382" s="89" t="s">
        <v>155</v>
      </c>
      <c r="D382" s="90" t="s">
        <v>109</v>
      </c>
      <c r="E382" s="89"/>
      <c r="F382" s="91">
        <f aca="true" t="shared" si="500" ref="F382:BQ382">F383</f>
        <v>24463</v>
      </c>
      <c r="G382" s="91">
        <f t="shared" si="500"/>
        <v>2193</v>
      </c>
      <c r="H382" s="91">
        <f t="shared" si="500"/>
        <v>26656</v>
      </c>
      <c r="I382" s="91">
        <f t="shared" si="500"/>
        <v>0</v>
      </c>
      <c r="J382" s="91">
        <f t="shared" si="500"/>
        <v>0</v>
      </c>
      <c r="K382" s="91">
        <f t="shared" si="500"/>
        <v>0</v>
      </c>
      <c r="L382" s="91">
        <f t="shared" si="500"/>
        <v>0</v>
      </c>
      <c r="M382" s="91">
        <f t="shared" si="500"/>
        <v>26656</v>
      </c>
      <c r="N382" s="91">
        <f t="shared" si="500"/>
        <v>0</v>
      </c>
      <c r="O382" s="91">
        <f t="shared" si="500"/>
        <v>0</v>
      </c>
      <c r="P382" s="91">
        <f t="shared" si="500"/>
        <v>0</v>
      </c>
      <c r="Q382" s="91">
        <f t="shared" si="500"/>
        <v>0</v>
      </c>
      <c r="R382" s="91">
        <f t="shared" si="500"/>
        <v>0</v>
      </c>
      <c r="S382" s="91">
        <f t="shared" si="500"/>
        <v>26656</v>
      </c>
      <c r="T382" s="91">
        <f t="shared" si="500"/>
        <v>0</v>
      </c>
      <c r="U382" s="91">
        <f t="shared" si="500"/>
        <v>0</v>
      </c>
      <c r="V382" s="91">
        <f t="shared" si="500"/>
        <v>0</v>
      </c>
      <c r="W382" s="91">
        <f t="shared" si="500"/>
        <v>0</v>
      </c>
      <c r="X382" s="91">
        <f t="shared" si="500"/>
        <v>0</v>
      </c>
      <c r="Y382" s="91">
        <f t="shared" si="500"/>
        <v>0</v>
      </c>
      <c r="Z382" s="91">
        <f t="shared" si="500"/>
        <v>0</v>
      </c>
      <c r="AA382" s="91">
        <f t="shared" si="500"/>
        <v>15500</v>
      </c>
      <c r="AB382" s="91">
        <f t="shared" si="500"/>
        <v>42156</v>
      </c>
      <c r="AC382" s="91">
        <f t="shared" si="500"/>
        <v>15500</v>
      </c>
      <c r="AD382" s="91">
        <f t="shared" si="500"/>
        <v>4</v>
      </c>
      <c r="AE382" s="91">
        <f t="shared" si="500"/>
        <v>202</v>
      </c>
      <c r="AF382" s="91">
        <f t="shared" si="500"/>
        <v>-9287</v>
      </c>
      <c r="AG382" s="91">
        <f t="shared" si="500"/>
        <v>0</v>
      </c>
      <c r="AH382" s="91">
        <f t="shared" si="500"/>
        <v>0</v>
      </c>
      <c r="AI382" s="91">
        <f t="shared" si="500"/>
        <v>33075</v>
      </c>
      <c r="AJ382" s="91">
        <f t="shared" si="500"/>
        <v>15500</v>
      </c>
      <c r="AK382" s="91">
        <f t="shared" si="500"/>
        <v>0</v>
      </c>
      <c r="AL382" s="91">
        <f t="shared" si="500"/>
        <v>33075</v>
      </c>
      <c r="AM382" s="91">
        <f t="shared" si="500"/>
        <v>15500</v>
      </c>
      <c r="AN382" s="91">
        <f t="shared" si="500"/>
        <v>0</v>
      </c>
      <c r="AO382" s="91">
        <f t="shared" si="500"/>
        <v>191</v>
      </c>
      <c r="AP382" s="91">
        <f t="shared" si="500"/>
        <v>1</v>
      </c>
      <c r="AQ382" s="91">
        <f t="shared" si="500"/>
        <v>38465</v>
      </c>
      <c r="AR382" s="91">
        <f t="shared" si="500"/>
        <v>71732</v>
      </c>
      <c r="AS382" s="91">
        <f t="shared" si="500"/>
        <v>53965</v>
      </c>
      <c r="AT382" s="92">
        <f t="shared" si="500"/>
        <v>0</v>
      </c>
      <c r="AU382" s="92">
        <f t="shared" si="500"/>
        <v>0</v>
      </c>
      <c r="AV382" s="92">
        <f t="shared" si="500"/>
        <v>0</v>
      </c>
      <c r="AW382" s="92">
        <f t="shared" si="500"/>
        <v>71732</v>
      </c>
      <c r="AX382" s="92">
        <f t="shared" si="500"/>
        <v>53965</v>
      </c>
      <c r="AY382" s="91">
        <f t="shared" si="500"/>
        <v>-473</v>
      </c>
      <c r="AZ382" s="91">
        <f t="shared" si="500"/>
        <v>0</v>
      </c>
      <c r="BA382" s="91">
        <f t="shared" si="500"/>
        <v>0</v>
      </c>
      <c r="BB382" s="91">
        <f t="shared" si="500"/>
        <v>0</v>
      </c>
      <c r="BC382" s="91">
        <f t="shared" si="500"/>
        <v>0</v>
      </c>
      <c r="BD382" s="91">
        <f t="shared" si="500"/>
        <v>71259</v>
      </c>
      <c r="BE382" s="91">
        <f t="shared" si="500"/>
        <v>53965</v>
      </c>
      <c r="BF382" s="91">
        <f t="shared" si="500"/>
        <v>0</v>
      </c>
      <c r="BG382" s="91">
        <f t="shared" si="500"/>
        <v>0</v>
      </c>
      <c r="BH382" s="91">
        <f t="shared" si="500"/>
        <v>0</v>
      </c>
      <c r="BI382" s="91">
        <f t="shared" si="500"/>
        <v>71259</v>
      </c>
      <c r="BJ382" s="91">
        <f t="shared" si="500"/>
        <v>53965</v>
      </c>
      <c r="BK382" s="91">
        <f t="shared" si="500"/>
        <v>0</v>
      </c>
      <c r="BL382" s="91">
        <f t="shared" si="500"/>
        <v>0</v>
      </c>
      <c r="BM382" s="91">
        <f t="shared" si="500"/>
        <v>0</v>
      </c>
      <c r="BN382" s="91">
        <f t="shared" si="500"/>
        <v>0</v>
      </c>
      <c r="BO382" s="91">
        <f t="shared" si="500"/>
        <v>71259</v>
      </c>
      <c r="BP382" s="91">
        <f t="shared" si="500"/>
        <v>53965</v>
      </c>
      <c r="BQ382" s="91">
        <f t="shared" si="500"/>
        <v>0</v>
      </c>
      <c r="BR382" s="91"/>
      <c r="BS382" s="91">
        <f aca="true" t="shared" si="501" ref="BS382:BX382">BS383</f>
        <v>0</v>
      </c>
      <c r="BT382" s="91">
        <f t="shared" si="501"/>
        <v>0</v>
      </c>
      <c r="BU382" s="91">
        <f t="shared" si="501"/>
        <v>71259</v>
      </c>
      <c r="BV382" s="91">
        <f t="shared" si="501"/>
        <v>53965</v>
      </c>
      <c r="BW382" s="91">
        <f t="shared" si="501"/>
        <v>70634</v>
      </c>
      <c r="BX382" s="91">
        <f t="shared" si="501"/>
        <v>53895</v>
      </c>
      <c r="BY382" s="77">
        <f t="shared" si="497"/>
        <v>99.12291780687352</v>
      </c>
      <c r="BZ382" s="77">
        <f t="shared" si="497"/>
        <v>99.87028629667377</v>
      </c>
    </row>
    <row r="383" spans="1:78" s="11" customFormat="1" ht="33" hidden="1">
      <c r="A383" s="88" t="s">
        <v>129</v>
      </c>
      <c r="B383" s="89" t="s">
        <v>148</v>
      </c>
      <c r="C383" s="89" t="s">
        <v>155</v>
      </c>
      <c r="D383" s="90" t="s">
        <v>109</v>
      </c>
      <c r="E383" s="89" t="s">
        <v>130</v>
      </c>
      <c r="F383" s="75">
        <v>24463</v>
      </c>
      <c r="G383" s="75">
        <f>H383-F383</f>
        <v>2193</v>
      </c>
      <c r="H383" s="75">
        <f>24703+1953</f>
        <v>26656</v>
      </c>
      <c r="I383" s="62"/>
      <c r="J383" s="62"/>
      <c r="K383" s="62"/>
      <c r="L383" s="62"/>
      <c r="M383" s="75">
        <f>H383+J383+K383+L383</f>
        <v>26656</v>
      </c>
      <c r="N383" s="78">
        <f>I383+L383</f>
        <v>0</v>
      </c>
      <c r="O383" s="62"/>
      <c r="P383" s="78"/>
      <c r="Q383" s="78"/>
      <c r="R383" s="63"/>
      <c r="S383" s="75">
        <f>M383+O383+P383+Q383+R383</f>
        <v>26656</v>
      </c>
      <c r="T383" s="75">
        <f>N383+R383</f>
        <v>0</v>
      </c>
      <c r="U383" s="78"/>
      <c r="V383" s="78"/>
      <c r="W383" s="63"/>
      <c r="X383" s="63"/>
      <c r="Y383" s="63"/>
      <c r="Z383" s="63"/>
      <c r="AA383" s="75">
        <v>15500</v>
      </c>
      <c r="AB383" s="75">
        <f>S383+U383+V383+W383+X383+Y383+Z383+AA383</f>
        <v>42156</v>
      </c>
      <c r="AC383" s="75">
        <f>T383+Z383+AA383</f>
        <v>15500</v>
      </c>
      <c r="AD383" s="61">
        <v>4</v>
      </c>
      <c r="AE383" s="61">
        <v>202</v>
      </c>
      <c r="AF383" s="61">
        <v>-9287</v>
      </c>
      <c r="AG383" s="61"/>
      <c r="AH383" s="61"/>
      <c r="AI383" s="75">
        <f>AB383+AD383+AE383+AF383+AG383+AH383</f>
        <v>33075</v>
      </c>
      <c r="AJ383" s="75">
        <f>AC383+AH383</f>
        <v>15500</v>
      </c>
      <c r="AK383" s="63"/>
      <c r="AL383" s="75">
        <f>AI383+AK383</f>
        <v>33075</v>
      </c>
      <c r="AM383" s="75">
        <f>AJ383</f>
        <v>15500</v>
      </c>
      <c r="AN383" s="63"/>
      <c r="AO383" s="78">
        <v>191</v>
      </c>
      <c r="AP383" s="78">
        <v>1</v>
      </c>
      <c r="AQ383" s="61">
        <v>38465</v>
      </c>
      <c r="AR383" s="75">
        <f>AL383+AN383+AO383+AP383+AQ383</f>
        <v>71732</v>
      </c>
      <c r="AS383" s="75">
        <f>AM383+AQ383</f>
        <v>53965</v>
      </c>
      <c r="AT383" s="175"/>
      <c r="AU383" s="175"/>
      <c r="AV383" s="175"/>
      <c r="AW383" s="76">
        <f>AV383+AU383+AT383+AR383</f>
        <v>71732</v>
      </c>
      <c r="AX383" s="76">
        <f>AV383+AS383</f>
        <v>53965</v>
      </c>
      <c r="AY383" s="61">
        <v>-473</v>
      </c>
      <c r="AZ383" s="61"/>
      <c r="BA383" s="61"/>
      <c r="BB383" s="61"/>
      <c r="BC383" s="61"/>
      <c r="BD383" s="75">
        <f>AW383+AY383+AZ383+BA383+BB383+BC383</f>
        <v>71259</v>
      </c>
      <c r="BE383" s="75">
        <v>53965</v>
      </c>
      <c r="BF383" s="63"/>
      <c r="BG383" s="63"/>
      <c r="BH383" s="63"/>
      <c r="BI383" s="75">
        <f>BD383+BF383+BG383+BH383</f>
        <v>71259</v>
      </c>
      <c r="BJ383" s="75">
        <f>BE383+BH383</f>
        <v>53965</v>
      </c>
      <c r="BK383" s="78"/>
      <c r="BL383" s="62"/>
      <c r="BM383" s="62"/>
      <c r="BN383" s="62"/>
      <c r="BO383" s="75">
        <f>BI383+BK383+BL383+BM383+BN383</f>
        <v>71259</v>
      </c>
      <c r="BP383" s="75">
        <f>BJ383+BN383</f>
        <v>53965</v>
      </c>
      <c r="BQ383" s="63"/>
      <c r="BR383" s="63"/>
      <c r="BS383" s="63"/>
      <c r="BT383" s="63"/>
      <c r="BU383" s="75">
        <f>BO383+BQ383+BS383+BT383</f>
        <v>71259</v>
      </c>
      <c r="BV383" s="75">
        <f>BP383+BT383</f>
        <v>53965</v>
      </c>
      <c r="BW383" s="75">
        <v>70634</v>
      </c>
      <c r="BX383" s="75">
        <v>53895</v>
      </c>
      <c r="BY383" s="77">
        <f t="shared" si="497"/>
        <v>99.12291780687352</v>
      </c>
      <c r="BZ383" s="77">
        <f t="shared" si="497"/>
        <v>99.87028629667377</v>
      </c>
    </row>
    <row r="384" spans="1:78" s="11" customFormat="1" ht="33.75" hidden="1">
      <c r="A384" s="88" t="s">
        <v>110</v>
      </c>
      <c r="B384" s="89" t="s">
        <v>148</v>
      </c>
      <c r="C384" s="89" t="s">
        <v>155</v>
      </c>
      <c r="D384" s="90" t="s">
        <v>111</v>
      </c>
      <c r="E384" s="89"/>
      <c r="F384" s="91">
        <f>F385</f>
        <v>23346</v>
      </c>
      <c r="G384" s="91">
        <f>G385</f>
        <v>-7193</v>
      </c>
      <c r="H384" s="91">
        <f>H385</f>
        <v>16153</v>
      </c>
      <c r="I384" s="91">
        <f aca="true" t="shared" si="502" ref="I384:BW384">I385</f>
        <v>0</v>
      </c>
      <c r="J384" s="91">
        <f t="shared" si="502"/>
        <v>0</v>
      </c>
      <c r="K384" s="91">
        <f t="shared" si="502"/>
        <v>0</v>
      </c>
      <c r="L384" s="91">
        <f t="shared" si="502"/>
        <v>0</v>
      </c>
      <c r="M384" s="91">
        <f t="shared" si="502"/>
        <v>16153</v>
      </c>
      <c r="N384" s="91">
        <f t="shared" si="502"/>
        <v>0</v>
      </c>
      <c r="O384" s="91">
        <f t="shared" si="502"/>
        <v>0</v>
      </c>
      <c r="P384" s="91"/>
      <c r="Q384" s="91">
        <f t="shared" si="502"/>
        <v>0</v>
      </c>
      <c r="R384" s="91">
        <f t="shared" si="502"/>
        <v>0</v>
      </c>
      <c r="S384" s="91">
        <f t="shared" si="502"/>
        <v>16153</v>
      </c>
      <c r="T384" s="91">
        <f t="shared" si="502"/>
        <v>0</v>
      </c>
      <c r="U384" s="91">
        <f t="shared" si="502"/>
        <v>0</v>
      </c>
      <c r="V384" s="91">
        <f t="shared" si="502"/>
        <v>0</v>
      </c>
      <c r="W384" s="91">
        <f t="shared" si="502"/>
        <v>0</v>
      </c>
      <c r="X384" s="91">
        <f t="shared" si="502"/>
        <v>0</v>
      </c>
      <c r="Y384" s="91">
        <f t="shared" si="502"/>
        <v>0</v>
      </c>
      <c r="Z384" s="91">
        <f t="shared" si="502"/>
        <v>0</v>
      </c>
      <c r="AA384" s="91">
        <f t="shared" si="502"/>
        <v>0</v>
      </c>
      <c r="AB384" s="91">
        <f t="shared" si="502"/>
        <v>16153</v>
      </c>
      <c r="AC384" s="91">
        <f t="shared" si="502"/>
        <v>0</v>
      </c>
      <c r="AD384" s="91">
        <f t="shared" si="502"/>
        <v>0</v>
      </c>
      <c r="AE384" s="91">
        <f t="shared" si="502"/>
        <v>2</v>
      </c>
      <c r="AF384" s="91">
        <f t="shared" si="502"/>
        <v>-10498</v>
      </c>
      <c r="AG384" s="91">
        <f t="shared" si="502"/>
        <v>0</v>
      </c>
      <c r="AH384" s="91">
        <f t="shared" si="502"/>
        <v>0</v>
      </c>
      <c r="AI384" s="91">
        <f t="shared" si="502"/>
        <v>5657</v>
      </c>
      <c r="AJ384" s="91">
        <f t="shared" si="502"/>
        <v>0</v>
      </c>
      <c r="AK384" s="91">
        <f t="shared" si="502"/>
        <v>0</v>
      </c>
      <c r="AL384" s="91">
        <f t="shared" si="502"/>
        <v>5657</v>
      </c>
      <c r="AM384" s="91">
        <f t="shared" si="502"/>
        <v>0</v>
      </c>
      <c r="AN384" s="91">
        <f t="shared" si="502"/>
        <v>0</v>
      </c>
      <c r="AO384" s="91">
        <f t="shared" si="502"/>
        <v>2</v>
      </c>
      <c r="AP384" s="91">
        <f t="shared" si="502"/>
        <v>0</v>
      </c>
      <c r="AQ384" s="91">
        <f t="shared" si="502"/>
        <v>0</v>
      </c>
      <c r="AR384" s="91">
        <f t="shared" si="502"/>
        <v>5659</v>
      </c>
      <c r="AS384" s="91">
        <f t="shared" si="502"/>
        <v>0</v>
      </c>
      <c r="AT384" s="92">
        <f t="shared" si="502"/>
        <v>0</v>
      </c>
      <c r="AU384" s="92">
        <f t="shared" si="502"/>
        <v>0</v>
      </c>
      <c r="AV384" s="92">
        <f t="shared" si="502"/>
        <v>0</v>
      </c>
      <c r="AW384" s="92">
        <f t="shared" si="502"/>
        <v>5659</v>
      </c>
      <c r="AX384" s="92">
        <f t="shared" si="502"/>
        <v>0</v>
      </c>
      <c r="AY384" s="91">
        <f t="shared" si="502"/>
        <v>-702</v>
      </c>
      <c r="AZ384" s="91">
        <f t="shared" si="502"/>
        <v>0</v>
      </c>
      <c r="BA384" s="91">
        <f t="shared" si="502"/>
        <v>0</v>
      </c>
      <c r="BB384" s="91">
        <f t="shared" si="502"/>
        <v>0</v>
      </c>
      <c r="BC384" s="91">
        <f t="shared" si="502"/>
        <v>0</v>
      </c>
      <c r="BD384" s="91">
        <f t="shared" si="502"/>
        <v>4957</v>
      </c>
      <c r="BE384" s="91">
        <f t="shared" si="502"/>
        <v>0</v>
      </c>
      <c r="BF384" s="91">
        <f t="shared" si="502"/>
        <v>0</v>
      </c>
      <c r="BG384" s="91">
        <f t="shared" si="502"/>
        <v>0</v>
      </c>
      <c r="BH384" s="91">
        <f t="shared" si="502"/>
        <v>0</v>
      </c>
      <c r="BI384" s="91">
        <f t="shared" si="502"/>
        <v>4957</v>
      </c>
      <c r="BJ384" s="91">
        <f t="shared" si="502"/>
        <v>0</v>
      </c>
      <c r="BK384" s="91">
        <f t="shared" si="502"/>
        <v>0</v>
      </c>
      <c r="BL384" s="91">
        <f t="shared" si="502"/>
        <v>0</v>
      </c>
      <c r="BM384" s="91">
        <f t="shared" si="502"/>
        <v>0</v>
      </c>
      <c r="BN384" s="91">
        <f t="shared" si="502"/>
        <v>0</v>
      </c>
      <c r="BO384" s="91">
        <f t="shared" si="502"/>
        <v>4957</v>
      </c>
      <c r="BP384" s="91">
        <f t="shared" si="502"/>
        <v>0</v>
      </c>
      <c r="BQ384" s="91">
        <f t="shared" si="502"/>
        <v>0</v>
      </c>
      <c r="BR384" s="91"/>
      <c r="BS384" s="91">
        <f t="shared" si="502"/>
        <v>0</v>
      </c>
      <c r="BT384" s="91">
        <f t="shared" si="502"/>
        <v>0</v>
      </c>
      <c r="BU384" s="91">
        <f t="shared" si="502"/>
        <v>4957</v>
      </c>
      <c r="BV384" s="91">
        <f t="shared" si="502"/>
        <v>0</v>
      </c>
      <c r="BW384" s="91">
        <f t="shared" si="502"/>
        <v>4951</v>
      </c>
      <c r="BX384" s="91">
        <f>BX385</f>
        <v>0</v>
      </c>
      <c r="BY384" s="77">
        <f>BW384/BU384*100</f>
        <v>99.87895904781118</v>
      </c>
      <c r="BZ384" s="72"/>
    </row>
    <row r="385" spans="1:78" s="11" customFormat="1" ht="72" customHeight="1" hidden="1">
      <c r="A385" s="88" t="s">
        <v>138</v>
      </c>
      <c r="B385" s="89" t="s">
        <v>148</v>
      </c>
      <c r="C385" s="89" t="s">
        <v>155</v>
      </c>
      <c r="D385" s="90" t="s">
        <v>6</v>
      </c>
      <c r="E385" s="89" t="s">
        <v>139</v>
      </c>
      <c r="F385" s="75">
        <v>23346</v>
      </c>
      <c r="G385" s="75">
        <f>H385-F385</f>
        <v>-7193</v>
      </c>
      <c r="H385" s="75">
        <v>16153</v>
      </c>
      <c r="I385" s="62"/>
      <c r="J385" s="62"/>
      <c r="K385" s="62"/>
      <c r="L385" s="62"/>
      <c r="M385" s="75">
        <f>H385+J385+K385+L385</f>
        <v>16153</v>
      </c>
      <c r="N385" s="78">
        <f>I385+L385</f>
        <v>0</v>
      </c>
      <c r="O385" s="62"/>
      <c r="P385" s="62"/>
      <c r="Q385" s="63"/>
      <c r="R385" s="63"/>
      <c r="S385" s="75">
        <f>M385+O385+P385+Q385+R385</f>
        <v>16153</v>
      </c>
      <c r="T385" s="75">
        <f>N385+R385</f>
        <v>0</v>
      </c>
      <c r="U385" s="63"/>
      <c r="V385" s="78"/>
      <c r="W385" s="63"/>
      <c r="X385" s="63"/>
      <c r="Y385" s="63"/>
      <c r="Z385" s="63"/>
      <c r="AA385" s="63"/>
      <c r="AB385" s="75">
        <f>S385+U385+V385+W385+X385+Y385+Z385+AA385</f>
        <v>16153</v>
      </c>
      <c r="AC385" s="75">
        <f>T385+Z385+AA385</f>
        <v>0</v>
      </c>
      <c r="AD385" s="61"/>
      <c r="AE385" s="61">
        <v>2</v>
      </c>
      <c r="AF385" s="61">
        <v>-10498</v>
      </c>
      <c r="AG385" s="61"/>
      <c r="AH385" s="61"/>
      <c r="AI385" s="75">
        <f>AB385+AD385+AE385+AF385+AG385+AH385</f>
        <v>5657</v>
      </c>
      <c r="AJ385" s="75">
        <f>AC385+AH385</f>
        <v>0</v>
      </c>
      <c r="AK385" s="63"/>
      <c r="AL385" s="75">
        <f>AI385+AK385</f>
        <v>5657</v>
      </c>
      <c r="AM385" s="75">
        <f>AJ385</f>
        <v>0</v>
      </c>
      <c r="AN385" s="63"/>
      <c r="AO385" s="78">
        <v>2</v>
      </c>
      <c r="AP385" s="63"/>
      <c r="AQ385" s="63"/>
      <c r="AR385" s="75">
        <f>AL385+AN385+AO385+AP385+AQ385</f>
        <v>5659</v>
      </c>
      <c r="AS385" s="75">
        <f>AM385+AQ385</f>
        <v>0</v>
      </c>
      <c r="AT385" s="65"/>
      <c r="AU385" s="65"/>
      <c r="AV385" s="65"/>
      <c r="AW385" s="76">
        <f>AV385+AU385+AT385+AR385</f>
        <v>5659</v>
      </c>
      <c r="AX385" s="76">
        <f>AV385+AS385</f>
        <v>0</v>
      </c>
      <c r="AY385" s="75">
        <v>-702</v>
      </c>
      <c r="AZ385" s="61"/>
      <c r="BA385" s="61"/>
      <c r="BB385" s="61"/>
      <c r="BC385" s="61"/>
      <c r="BD385" s="75">
        <f>AW385+AY385+AZ385+BA385+BB385+BC385</f>
        <v>4957</v>
      </c>
      <c r="BE385" s="75">
        <f>AX385+BC385</f>
        <v>0</v>
      </c>
      <c r="BF385" s="63"/>
      <c r="BG385" s="63"/>
      <c r="BH385" s="63"/>
      <c r="BI385" s="75">
        <f>BD385+BF385+BG385+BH385</f>
        <v>4957</v>
      </c>
      <c r="BJ385" s="75">
        <f>BE385+BH385</f>
        <v>0</v>
      </c>
      <c r="BK385" s="78"/>
      <c r="BL385" s="62"/>
      <c r="BM385" s="62"/>
      <c r="BN385" s="62"/>
      <c r="BO385" s="75">
        <f>BI385+BK385+BL385+BM385+BN385</f>
        <v>4957</v>
      </c>
      <c r="BP385" s="75">
        <f>BJ385+BN385</f>
        <v>0</v>
      </c>
      <c r="BQ385" s="63"/>
      <c r="BR385" s="63"/>
      <c r="BS385" s="63"/>
      <c r="BT385" s="63"/>
      <c r="BU385" s="75">
        <f>BO385+BQ385+BS385+BT385</f>
        <v>4957</v>
      </c>
      <c r="BV385" s="75">
        <f>BP385+BT385</f>
        <v>0</v>
      </c>
      <c r="BW385" s="75">
        <v>4951</v>
      </c>
      <c r="BX385" s="75">
        <f>BR385+BV385</f>
        <v>0</v>
      </c>
      <c r="BY385" s="77">
        <f>BW385/BU385*100</f>
        <v>99.87895904781118</v>
      </c>
      <c r="BZ385" s="72"/>
    </row>
    <row r="386" spans="1:78" s="11" customFormat="1" ht="39" customHeight="1" hidden="1">
      <c r="A386" s="88" t="s">
        <v>121</v>
      </c>
      <c r="B386" s="89" t="s">
        <v>148</v>
      </c>
      <c r="C386" s="89" t="s">
        <v>155</v>
      </c>
      <c r="D386" s="90" t="s">
        <v>123</v>
      </c>
      <c r="E386" s="89"/>
      <c r="F386" s="91">
        <f>F387+F388</f>
        <v>1626</v>
      </c>
      <c r="G386" s="91">
        <f>G387+G388</f>
        <v>409</v>
      </c>
      <c r="H386" s="91">
        <f>H387+H388</f>
        <v>2035</v>
      </c>
      <c r="I386" s="91">
        <f aca="true" t="shared" si="503" ref="I386:AS386">I387+I388</f>
        <v>0</v>
      </c>
      <c r="J386" s="91">
        <f t="shared" si="503"/>
        <v>0</v>
      </c>
      <c r="K386" s="91">
        <f t="shared" si="503"/>
        <v>0</v>
      </c>
      <c r="L386" s="91">
        <f t="shared" si="503"/>
        <v>0</v>
      </c>
      <c r="M386" s="91">
        <f t="shared" si="503"/>
        <v>2035</v>
      </c>
      <c r="N386" s="91">
        <f t="shared" si="503"/>
        <v>0</v>
      </c>
      <c r="O386" s="91">
        <f t="shared" si="503"/>
        <v>0</v>
      </c>
      <c r="P386" s="91"/>
      <c r="Q386" s="91">
        <f t="shared" si="503"/>
        <v>0</v>
      </c>
      <c r="R386" s="91">
        <f t="shared" si="503"/>
        <v>0</v>
      </c>
      <c r="S386" s="91">
        <f t="shared" si="503"/>
        <v>2035</v>
      </c>
      <c r="T386" s="91">
        <f t="shared" si="503"/>
        <v>0</v>
      </c>
      <c r="U386" s="91">
        <f t="shared" si="503"/>
        <v>0</v>
      </c>
      <c r="V386" s="91">
        <f t="shared" si="503"/>
        <v>0</v>
      </c>
      <c r="W386" s="91">
        <f t="shared" si="503"/>
        <v>0</v>
      </c>
      <c r="X386" s="91">
        <f t="shared" si="503"/>
        <v>0</v>
      </c>
      <c r="Y386" s="91">
        <f t="shared" si="503"/>
        <v>0</v>
      </c>
      <c r="Z386" s="91">
        <f t="shared" si="503"/>
        <v>0</v>
      </c>
      <c r="AA386" s="91">
        <f t="shared" si="503"/>
        <v>0</v>
      </c>
      <c r="AB386" s="91">
        <f t="shared" si="503"/>
        <v>2035</v>
      </c>
      <c r="AC386" s="91">
        <f t="shared" si="503"/>
        <v>0</v>
      </c>
      <c r="AD386" s="91">
        <f t="shared" si="503"/>
        <v>0</v>
      </c>
      <c r="AE386" s="91">
        <f t="shared" si="503"/>
        <v>0</v>
      </c>
      <c r="AF386" s="91">
        <f t="shared" si="503"/>
        <v>0</v>
      </c>
      <c r="AG386" s="91">
        <f t="shared" si="503"/>
        <v>0</v>
      </c>
      <c r="AH386" s="91">
        <f t="shared" si="503"/>
        <v>0</v>
      </c>
      <c r="AI386" s="91">
        <f t="shared" si="503"/>
        <v>2035</v>
      </c>
      <c r="AJ386" s="91">
        <f t="shared" si="503"/>
        <v>0</v>
      </c>
      <c r="AK386" s="91">
        <f t="shared" si="503"/>
        <v>0</v>
      </c>
      <c r="AL386" s="91">
        <f t="shared" si="503"/>
        <v>2035</v>
      </c>
      <c r="AM386" s="91">
        <f t="shared" si="503"/>
        <v>0</v>
      </c>
      <c r="AN386" s="91">
        <f t="shared" si="503"/>
        <v>0</v>
      </c>
      <c r="AO386" s="91">
        <f t="shared" si="503"/>
        <v>0</v>
      </c>
      <c r="AP386" s="91">
        <f t="shared" si="503"/>
        <v>0</v>
      </c>
      <c r="AQ386" s="91">
        <f t="shared" si="503"/>
        <v>0</v>
      </c>
      <c r="AR386" s="91">
        <f t="shared" si="503"/>
        <v>2035</v>
      </c>
      <c r="AS386" s="91">
        <f t="shared" si="503"/>
        <v>0</v>
      </c>
      <c r="AT386" s="92">
        <f>AT387+AT388</f>
        <v>0</v>
      </c>
      <c r="AU386" s="92">
        <f>AU387+AU388</f>
        <v>0</v>
      </c>
      <c r="AV386" s="92">
        <f>AV387+AV388</f>
        <v>0</v>
      </c>
      <c r="AW386" s="92">
        <f>AW387+AW388</f>
        <v>2035</v>
      </c>
      <c r="AX386" s="92">
        <f aca="true" t="shared" si="504" ref="AX386:BV386">AX387+AX388</f>
        <v>0</v>
      </c>
      <c r="AY386" s="91">
        <f t="shared" si="504"/>
        <v>-79</v>
      </c>
      <c r="AZ386" s="91">
        <f t="shared" si="504"/>
        <v>0</v>
      </c>
      <c r="BA386" s="91">
        <f t="shared" si="504"/>
        <v>0</v>
      </c>
      <c r="BB386" s="91">
        <f t="shared" si="504"/>
        <v>0</v>
      </c>
      <c r="BC386" s="91">
        <f t="shared" si="504"/>
        <v>0</v>
      </c>
      <c r="BD386" s="91">
        <f t="shared" si="504"/>
        <v>1956</v>
      </c>
      <c r="BE386" s="91">
        <f t="shared" si="504"/>
        <v>0</v>
      </c>
      <c r="BF386" s="91">
        <f t="shared" si="504"/>
        <v>0</v>
      </c>
      <c r="BG386" s="91">
        <f t="shared" si="504"/>
        <v>0</v>
      </c>
      <c r="BH386" s="91">
        <f t="shared" si="504"/>
        <v>0</v>
      </c>
      <c r="BI386" s="91">
        <f t="shared" si="504"/>
        <v>1956</v>
      </c>
      <c r="BJ386" s="91">
        <f t="shared" si="504"/>
        <v>0</v>
      </c>
      <c r="BK386" s="91">
        <f t="shared" si="504"/>
        <v>0</v>
      </c>
      <c r="BL386" s="91">
        <f t="shared" si="504"/>
        <v>0</v>
      </c>
      <c r="BM386" s="91">
        <f t="shared" si="504"/>
        <v>0</v>
      </c>
      <c r="BN386" s="91">
        <f t="shared" si="504"/>
        <v>0</v>
      </c>
      <c r="BO386" s="91">
        <f t="shared" si="504"/>
        <v>1956</v>
      </c>
      <c r="BP386" s="91">
        <f t="shared" si="504"/>
        <v>0</v>
      </c>
      <c r="BQ386" s="91">
        <f t="shared" si="504"/>
        <v>0</v>
      </c>
      <c r="BR386" s="91"/>
      <c r="BS386" s="91">
        <f t="shared" si="504"/>
        <v>0</v>
      </c>
      <c r="BT386" s="91">
        <f t="shared" si="504"/>
        <v>0</v>
      </c>
      <c r="BU386" s="91">
        <f t="shared" si="504"/>
        <v>1956</v>
      </c>
      <c r="BV386" s="91">
        <f t="shared" si="504"/>
        <v>0</v>
      </c>
      <c r="BW386" s="91">
        <f>BW387+BW388</f>
        <v>1878</v>
      </c>
      <c r="BX386" s="91">
        <f>BX387+BX388</f>
        <v>0</v>
      </c>
      <c r="BY386" s="77">
        <f>BW386/BU386*100</f>
        <v>96.0122699386503</v>
      </c>
      <c r="BZ386" s="72"/>
    </row>
    <row r="387" spans="1:78" s="11" customFormat="1" ht="69.75" customHeight="1" hidden="1">
      <c r="A387" s="88" t="s">
        <v>138</v>
      </c>
      <c r="B387" s="89" t="s">
        <v>148</v>
      </c>
      <c r="C387" s="89" t="s">
        <v>155</v>
      </c>
      <c r="D387" s="90" t="s">
        <v>122</v>
      </c>
      <c r="E387" s="89" t="s">
        <v>139</v>
      </c>
      <c r="F387" s="75">
        <v>209</v>
      </c>
      <c r="G387" s="75">
        <f>H387-F387</f>
        <v>200</v>
      </c>
      <c r="H387" s="75">
        <v>409</v>
      </c>
      <c r="I387" s="62"/>
      <c r="J387" s="62"/>
      <c r="K387" s="62"/>
      <c r="L387" s="62"/>
      <c r="M387" s="75">
        <f>H387+J387+K387+L387</f>
        <v>409</v>
      </c>
      <c r="N387" s="78">
        <f>I387+L387</f>
        <v>0</v>
      </c>
      <c r="O387" s="62"/>
      <c r="P387" s="62"/>
      <c r="Q387" s="63"/>
      <c r="R387" s="63"/>
      <c r="S387" s="75">
        <f>M387+O387+P387+Q387+R387</f>
        <v>409</v>
      </c>
      <c r="T387" s="75">
        <f>N387+R387</f>
        <v>0</v>
      </c>
      <c r="U387" s="63"/>
      <c r="V387" s="63"/>
      <c r="W387" s="63"/>
      <c r="X387" s="63"/>
      <c r="Y387" s="63"/>
      <c r="Z387" s="63"/>
      <c r="AA387" s="63"/>
      <c r="AB387" s="75">
        <f>S387+U387+V387+W387+X387+Y387+Z387+AA387</f>
        <v>409</v>
      </c>
      <c r="AC387" s="75">
        <f>T387+Z387+AA387</f>
        <v>0</v>
      </c>
      <c r="AD387" s="61"/>
      <c r="AE387" s="61"/>
      <c r="AF387" s="61"/>
      <c r="AG387" s="61"/>
      <c r="AH387" s="61"/>
      <c r="AI387" s="75">
        <f>AB387+AD387+AE387+AF387+AG387+AH387</f>
        <v>409</v>
      </c>
      <c r="AJ387" s="75">
        <f>AC387+AH387</f>
        <v>0</v>
      </c>
      <c r="AK387" s="63"/>
      <c r="AL387" s="75">
        <f>AI387+AK387</f>
        <v>409</v>
      </c>
      <c r="AM387" s="75">
        <f>AJ387</f>
        <v>0</v>
      </c>
      <c r="AN387" s="63"/>
      <c r="AO387" s="63"/>
      <c r="AP387" s="63"/>
      <c r="AQ387" s="63"/>
      <c r="AR387" s="75">
        <f>AL387+AN387+AO387+AP387+AQ387</f>
        <v>409</v>
      </c>
      <c r="AS387" s="75">
        <f>AM387+AQ387</f>
        <v>0</v>
      </c>
      <c r="AT387" s="65"/>
      <c r="AU387" s="65"/>
      <c r="AV387" s="65"/>
      <c r="AW387" s="76">
        <f>AV387+AU387+AT387+AR387</f>
        <v>409</v>
      </c>
      <c r="AX387" s="76">
        <f>AV387+AS387</f>
        <v>0</v>
      </c>
      <c r="AY387" s="61">
        <v>-79</v>
      </c>
      <c r="AZ387" s="61"/>
      <c r="BA387" s="61"/>
      <c r="BB387" s="61"/>
      <c r="BC387" s="61"/>
      <c r="BD387" s="75">
        <f>AW387+AY387+AZ387+BA387+BB387+BC387</f>
        <v>330</v>
      </c>
      <c r="BE387" s="75">
        <f>AX387+BC387</f>
        <v>0</v>
      </c>
      <c r="BF387" s="63"/>
      <c r="BG387" s="63"/>
      <c r="BH387" s="63"/>
      <c r="BI387" s="75">
        <f>BD387+BF387+BG387+BH387</f>
        <v>330</v>
      </c>
      <c r="BJ387" s="75">
        <f>BE387+BH387</f>
        <v>0</v>
      </c>
      <c r="BK387" s="62"/>
      <c r="BL387" s="62"/>
      <c r="BM387" s="62"/>
      <c r="BN387" s="62"/>
      <c r="BO387" s="75">
        <f>BI387+BK387+BL387+BM387+BN387</f>
        <v>330</v>
      </c>
      <c r="BP387" s="75">
        <f>BJ387+BN387</f>
        <v>0</v>
      </c>
      <c r="BQ387" s="63"/>
      <c r="BR387" s="63"/>
      <c r="BS387" s="63"/>
      <c r="BT387" s="63"/>
      <c r="BU387" s="75">
        <f>BO387+BQ387+BS387+BT387</f>
        <v>330</v>
      </c>
      <c r="BV387" s="75">
        <f>BP387+BT387</f>
        <v>0</v>
      </c>
      <c r="BW387" s="75">
        <v>261</v>
      </c>
      <c r="BX387" s="75">
        <f>BR387+BV387</f>
        <v>0</v>
      </c>
      <c r="BY387" s="77">
        <f>BW387/BU387*100</f>
        <v>79.0909090909091</v>
      </c>
      <c r="BZ387" s="72"/>
    </row>
    <row r="388" spans="1:78" s="11" customFormat="1" ht="22.5" customHeight="1" hidden="1">
      <c r="A388" s="88" t="s">
        <v>11</v>
      </c>
      <c r="B388" s="89" t="s">
        <v>148</v>
      </c>
      <c r="C388" s="89" t="s">
        <v>155</v>
      </c>
      <c r="D388" s="90" t="s">
        <v>122</v>
      </c>
      <c r="E388" s="89" t="s">
        <v>18</v>
      </c>
      <c r="F388" s="75">
        <v>1417</v>
      </c>
      <c r="G388" s="75">
        <f>H388-F388</f>
        <v>209</v>
      </c>
      <c r="H388" s="75">
        <f>1414+212</f>
        <v>1626</v>
      </c>
      <c r="I388" s="62"/>
      <c r="J388" s="62"/>
      <c r="K388" s="62"/>
      <c r="L388" s="62"/>
      <c r="M388" s="75">
        <f>H388+J388+K388+L388</f>
        <v>1626</v>
      </c>
      <c r="N388" s="78">
        <f>I388+L388</f>
        <v>0</v>
      </c>
      <c r="O388" s="62"/>
      <c r="P388" s="62"/>
      <c r="Q388" s="63"/>
      <c r="R388" s="63"/>
      <c r="S388" s="75">
        <f>M388+O388+P388+Q388+R388</f>
        <v>1626</v>
      </c>
      <c r="T388" s="75">
        <f>N388+R388</f>
        <v>0</v>
      </c>
      <c r="U388" s="63"/>
      <c r="V388" s="63"/>
      <c r="W388" s="63"/>
      <c r="X388" s="63"/>
      <c r="Y388" s="63"/>
      <c r="Z388" s="63"/>
      <c r="AA388" s="63"/>
      <c r="AB388" s="75">
        <f>S388+U388+V388+W388+X388+Y388+Z388+AA388</f>
        <v>1626</v>
      </c>
      <c r="AC388" s="75">
        <f>T388+Z388+AA388</f>
        <v>0</v>
      </c>
      <c r="AD388" s="61"/>
      <c r="AE388" s="61"/>
      <c r="AF388" s="61"/>
      <c r="AG388" s="61"/>
      <c r="AH388" s="61"/>
      <c r="AI388" s="75">
        <f>AB388+AD388+AE388+AF388+AG388+AH388</f>
        <v>1626</v>
      </c>
      <c r="AJ388" s="75">
        <f>AC388+AH388</f>
        <v>0</v>
      </c>
      <c r="AK388" s="63"/>
      <c r="AL388" s="75">
        <f>AI388+AK388</f>
        <v>1626</v>
      </c>
      <c r="AM388" s="75">
        <f>AJ388</f>
        <v>0</v>
      </c>
      <c r="AN388" s="63"/>
      <c r="AO388" s="63"/>
      <c r="AP388" s="63"/>
      <c r="AQ388" s="63"/>
      <c r="AR388" s="75">
        <f>AL388+AN388+AO388+AP388+AQ388</f>
        <v>1626</v>
      </c>
      <c r="AS388" s="75">
        <f>AM388+AQ388</f>
        <v>0</v>
      </c>
      <c r="AT388" s="65"/>
      <c r="AU388" s="65"/>
      <c r="AV388" s="65"/>
      <c r="AW388" s="76">
        <f>AV388+AU388+AT388+AR388</f>
        <v>1626</v>
      </c>
      <c r="AX388" s="76">
        <f>AV388+AS388</f>
        <v>0</v>
      </c>
      <c r="AY388" s="61"/>
      <c r="AZ388" s="61"/>
      <c r="BA388" s="61"/>
      <c r="BB388" s="61"/>
      <c r="BC388" s="61"/>
      <c r="BD388" s="75">
        <f>AW388+AY388+AZ388+BA388+BB388+BC388</f>
        <v>1626</v>
      </c>
      <c r="BE388" s="75">
        <f>AX388+BC388</f>
        <v>0</v>
      </c>
      <c r="BF388" s="63"/>
      <c r="BG388" s="63"/>
      <c r="BH388" s="63"/>
      <c r="BI388" s="75">
        <f>BD388+BF388+BG388+BH388</f>
        <v>1626</v>
      </c>
      <c r="BJ388" s="75">
        <f>BE388+BH388</f>
        <v>0</v>
      </c>
      <c r="BK388" s="62"/>
      <c r="BL388" s="62"/>
      <c r="BM388" s="62"/>
      <c r="BN388" s="62"/>
      <c r="BO388" s="75">
        <f>BI388+BK388+BL388+BM388+BN388</f>
        <v>1626</v>
      </c>
      <c r="BP388" s="75">
        <f>BJ388+BN388</f>
        <v>0</v>
      </c>
      <c r="BQ388" s="63"/>
      <c r="BR388" s="63"/>
      <c r="BS388" s="63"/>
      <c r="BT388" s="63"/>
      <c r="BU388" s="75">
        <f>BO388+BQ388+BS388+BT388</f>
        <v>1626</v>
      </c>
      <c r="BV388" s="75">
        <f>BP388+BT388</f>
        <v>0</v>
      </c>
      <c r="BW388" s="75">
        <v>1617</v>
      </c>
      <c r="BX388" s="75">
        <f>BR388+BV388</f>
        <v>0</v>
      </c>
      <c r="BY388" s="77">
        <f>BW388/BU388*100</f>
        <v>99.44649446494465</v>
      </c>
      <c r="BZ388" s="72"/>
    </row>
    <row r="389" spans="1:78" s="11" customFormat="1" ht="13.5" customHeight="1">
      <c r="A389" s="88"/>
      <c r="B389" s="89"/>
      <c r="C389" s="89"/>
      <c r="D389" s="90"/>
      <c r="E389" s="89"/>
      <c r="F389" s="61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3"/>
      <c r="R389" s="63"/>
      <c r="S389" s="61"/>
      <c r="T389" s="61"/>
      <c r="U389" s="63"/>
      <c r="V389" s="63"/>
      <c r="W389" s="63"/>
      <c r="X389" s="63"/>
      <c r="Y389" s="63"/>
      <c r="Z389" s="63"/>
      <c r="AA389" s="63"/>
      <c r="AB389" s="63"/>
      <c r="AC389" s="63"/>
      <c r="AD389" s="61"/>
      <c r="AE389" s="61"/>
      <c r="AF389" s="61"/>
      <c r="AG389" s="61"/>
      <c r="AH389" s="61"/>
      <c r="AI389" s="61"/>
      <c r="AJ389" s="61"/>
      <c r="AK389" s="63"/>
      <c r="AL389" s="63"/>
      <c r="AM389" s="63"/>
      <c r="AN389" s="63"/>
      <c r="AO389" s="63"/>
      <c r="AP389" s="63"/>
      <c r="AQ389" s="63"/>
      <c r="AR389" s="63"/>
      <c r="AS389" s="63"/>
      <c r="AT389" s="65"/>
      <c r="AU389" s="65"/>
      <c r="AV389" s="65"/>
      <c r="AW389" s="65"/>
      <c r="AX389" s="65"/>
      <c r="AY389" s="61"/>
      <c r="AZ389" s="61"/>
      <c r="BA389" s="61"/>
      <c r="BB389" s="61"/>
      <c r="BC389" s="61"/>
      <c r="BD389" s="62"/>
      <c r="BE389" s="62"/>
      <c r="BF389" s="63"/>
      <c r="BG389" s="63"/>
      <c r="BH389" s="63"/>
      <c r="BI389" s="63"/>
      <c r="BJ389" s="63"/>
      <c r="BK389" s="62"/>
      <c r="BL389" s="62"/>
      <c r="BM389" s="62"/>
      <c r="BN389" s="62"/>
      <c r="BO389" s="62"/>
      <c r="BP389" s="62"/>
      <c r="BQ389" s="63"/>
      <c r="BR389" s="63"/>
      <c r="BS389" s="63"/>
      <c r="BT389" s="63"/>
      <c r="BU389" s="63"/>
      <c r="BV389" s="63"/>
      <c r="BW389" s="63"/>
      <c r="BX389" s="63"/>
      <c r="BY389" s="72"/>
      <c r="BZ389" s="72"/>
    </row>
    <row r="390" spans="1:78" s="14" customFormat="1" ht="53.25" customHeight="1">
      <c r="A390" s="66" t="s">
        <v>2</v>
      </c>
      <c r="B390" s="67" t="s">
        <v>148</v>
      </c>
      <c r="C390" s="67" t="s">
        <v>3</v>
      </c>
      <c r="D390" s="85"/>
      <c r="E390" s="67"/>
      <c r="F390" s="86">
        <f aca="true" t="shared" si="505" ref="F390:M390">F391+F393+F395</f>
        <v>217953</v>
      </c>
      <c r="G390" s="86">
        <f t="shared" si="505"/>
        <v>-71368</v>
      </c>
      <c r="H390" s="86">
        <f t="shared" si="505"/>
        <v>146585</v>
      </c>
      <c r="I390" s="86">
        <f t="shared" si="505"/>
        <v>0</v>
      </c>
      <c r="J390" s="86">
        <f t="shared" si="505"/>
        <v>0</v>
      </c>
      <c r="K390" s="86">
        <f t="shared" si="505"/>
        <v>0</v>
      </c>
      <c r="L390" s="86">
        <f t="shared" si="505"/>
        <v>0</v>
      </c>
      <c r="M390" s="86">
        <f t="shared" si="505"/>
        <v>146585</v>
      </c>
      <c r="N390" s="86">
        <f aca="true" t="shared" si="506" ref="N390:S390">N391+N393+N395</f>
        <v>0</v>
      </c>
      <c r="O390" s="86">
        <f t="shared" si="506"/>
        <v>0</v>
      </c>
      <c r="P390" s="86"/>
      <c r="Q390" s="86">
        <f t="shared" si="506"/>
        <v>0</v>
      </c>
      <c r="R390" s="86">
        <f t="shared" si="506"/>
        <v>0</v>
      </c>
      <c r="S390" s="86">
        <f t="shared" si="506"/>
        <v>146585</v>
      </c>
      <c r="T390" s="86">
        <f aca="true" t="shared" si="507" ref="T390:AB390">T391+T393+T395</f>
        <v>0</v>
      </c>
      <c r="U390" s="86">
        <f t="shared" si="507"/>
        <v>0</v>
      </c>
      <c r="V390" s="86">
        <f t="shared" si="507"/>
        <v>0</v>
      </c>
      <c r="W390" s="86">
        <f t="shared" si="507"/>
        <v>0</v>
      </c>
      <c r="X390" s="86">
        <f t="shared" si="507"/>
        <v>0</v>
      </c>
      <c r="Y390" s="86">
        <f t="shared" si="507"/>
        <v>0</v>
      </c>
      <c r="Z390" s="86">
        <f t="shared" si="507"/>
        <v>0</v>
      </c>
      <c r="AA390" s="86">
        <f t="shared" si="507"/>
        <v>0</v>
      </c>
      <c r="AB390" s="86">
        <f t="shared" si="507"/>
        <v>146585</v>
      </c>
      <c r="AC390" s="86">
        <f aca="true" t="shared" si="508" ref="AC390:AI390">AC391+AC393+AC395</f>
        <v>0</v>
      </c>
      <c r="AD390" s="86">
        <f t="shared" si="508"/>
        <v>0</v>
      </c>
      <c r="AE390" s="86">
        <f t="shared" si="508"/>
        <v>52</v>
      </c>
      <c r="AF390" s="86">
        <f t="shared" si="508"/>
        <v>-8270</v>
      </c>
      <c r="AG390" s="86">
        <f t="shared" si="508"/>
        <v>0</v>
      </c>
      <c r="AH390" s="86">
        <f t="shared" si="508"/>
        <v>0</v>
      </c>
      <c r="AI390" s="86">
        <f t="shared" si="508"/>
        <v>138367</v>
      </c>
      <c r="AJ390" s="86">
        <f>AJ391+AJ393+AJ395</f>
        <v>0</v>
      </c>
      <c r="AK390" s="86">
        <f>AK391+AK393+AK395</f>
        <v>0</v>
      </c>
      <c r="AL390" s="86">
        <f>AL391+AL393+AL395</f>
        <v>138367</v>
      </c>
      <c r="AM390" s="86">
        <f aca="true" t="shared" si="509" ref="AM390:AS390">AM391+AM393+AM395</f>
        <v>0</v>
      </c>
      <c r="AN390" s="86">
        <f t="shared" si="509"/>
        <v>2198</v>
      </c>
      <c r="AO390" s="86">
        <f>AO391+AO393+AO395</f>
        <v>49</v>
      </c>
      <c r="AP390" s="86">
        <f t="shared" si="509"/>
        <v>0</v>
      </c>
      <c r="AQ390" s="86">
        <f t="shared" si="509"/>
        <v>0</v>
      </c>
      <c r="AR390" s="86">
        <f t="shared" si="509"/>
        <v>140614</v>
      </c>
      <c r="AS390" s="86">
        <f t="shared" si="509"/>
        <v>0</v>
      </c>
      <c r="AT390" s="87">
        <f>AT391+AT393+AT395</f>
        <v>0</v>
      </c>
      <c r="AU390" s="87">
        <f>AU391+AU393+AU395</f>
        <v>0</v>
      </c>
      <c r="AV390" s="87">
        <f>AV391+AV393+AV395</f>
        <v>0</v>
      </c>
      <c r="AW390" s="87">
        <f>AW391+AW393+AW395</f>
        <v>140614</v>
      </c>
      <c r="AX390" s="87">
        <f aca="true" t="shared" si="510" ref="AX390:BC390">AX391+AX393+AX395</f>
        <v>0</v>
      </c>
      <c r="AY390" s="86">
        <f t="shared" si="510"/>
        <v>-25432</v>
      </c>
      <c r="AZ390" s="86">
        <f t="shared" si="510"/>
        <v>0</v>
      </c>
      <c r="BA390" s="86">
        <f t="shared" si="510"/>
        <v>0</v>
      </c>
      <c r="BB390" s="86">
        <f t="shared" si="510"/>
        <v>13333</v>
      </c>
      <c r="BC390" s="86">
        <f t="shared" si="510"/>
        <v>0</v>
      </c>
      <c r="BD390" s="86">
        <f aca="true" t="shared" si="511" ref="BD390:BI390">BD391+BD393+BD395</f>
        <v>128515</v>
      </c>
      <c r="BE390" s="86">
        <f t="shared" si="511"/>
        <v>0</v>
      </c>
      <c r="BF390" s="86">
        <f t="shared" si="511"/>
        <v>0</v>
      </c>
      <c r="BG390" s="86">
        <f t="shared" si="511"/>
        <v>0</v>
      </c>
      <c r="BH390" s="86">
        <f t="shared" si="511"/>
        <v>0</v>
      </c>
      <c r="BI390" s="86">
        <f t="shared" si="511"/>
        <v>128515</v>
      </c>
      <c r="BJ390" s="86">
        <f aca="true" t="shared" si="512" ref="BJ390:BP390">BJ391+BJ393+BJ395</f>
        <v>0</v>
      </c>
      <c r="BK390" s="86">
        <f t="shared" si="512"/>
        <v>40</v>
      </c>
      <c r="BL390" s="86">
        <f t="shared" si="512"/>
        <v>0</v>
      </c>
      <c r="BM390" s="86">
        <f t="shared" si="512"/>
        <v>0</v>
      </c>
      <c r="BN390" s="86">
        <f t="shared" si="512"/>
        <v>0</v>
      </c>
      <c r="BO390" s="86">
        <f t="shared" si="512"/>
        <v>128555</v>
      </c>
      <c r="BP390" s="86">
        <f t="shared" si="512"/>
        <v>0</v>
      </c>
      <c r="BQ390" s="86">
        <f>BQ391+BQ393+BQ395</f>
        <v>-2509</v>
      </c>
      <c r="BR390" s="86"/>
      <c r="BS390" s="86">
        <f aca="true" t="shared" si="513" ref="BS390:BX390">BS391+BS393+BS395</f>
        <v>0</v>
      </c>
      <c r="BT390" s="86">
        <f t="shared" si="513"/>
        <v>0</v>
      </c>
      <c r="BU390" s="86">
        <f t="shared" si="513"/>
        <v>126046</v>
      </c>
      <c r="BV390" s="86">
        <f t="shared" si="513"/>
        <v>0</v>
      </c>
      <c r="BW390" s="86">
        <f t="shared" si="513"/>
        <v>116490</v>
      </c>
      <c r="BX390" s="86">
        <f t="shared" si="513"/>
        <v>0</v>
      </c>
      <c r="BY390" s="71">
        <f aca="true" t="shared" si="514" ref="BY390:BY396">BW390/BU390*100</f>
        <v>92.4186408136712</v>
      </c>
      <c r="BZ390" s="72"/>
    </row>
    <row r="391" spans="1:78" s="20" customFormat="1" ht="56.25" customHeight="1" hidden="1">
      <c r="A391" s="88" t="s">
        <v>97</v>
      </c>
      <c r="B391" s="89" t="s">
        <v>148</v>
      </c>
      <c r="C391" s="89" t="s">
        <v>3</v>
      </c>
      <c r="D391" s="90" t="s">
        <v>98</v>
      </c>
      <c r="E391" s="89"/>
      <c r="F391" s="91">
        <f>F392</f>
        <v>178860</v>
      </c>
      <c r="G391" s="91">
        <f>G392</f>
        <v>-131235</v>
      </c>
      <c r="H391" s="91">
        <f>H392</f>
        <v>47625</v>
      </c>
      <c r="I391" s="91">
        <f aca="true" t="shared" si="515" ref="I391:BW391">I392</f>
        <v>0</v>
      </c>
      <c r="J391" s="91">
        <f t="shared" si="515"/>
        <v>0</v>
      </c>
      <c r="K391" s="91">
        <f t="shared" si="515"/>
        <v>0</v>
      </c>
      <c r="L391" s="91">
        <f t="shared" si="515"/>
        <v>0</v>
      </c>
      <c r="M391" s="91">
        <f t="shared" si="515"/>
        <v>47625</v>
      </c>
      <c r="N391" s="91">
        <f t="shared" si="515"/>
        <v>0</v>
      </c>
      <c r="O391" s="91">
        <f t="shared" si="515"/>
        <v>0</v>
      </c>
      <c r="P391" s="91"/>
      <c r="Q391" s="91">
        <f t="shared" si="515"/>
        <v>0</v>
      </c>
      <c r="R391" s="91">
        <f t="shared" si="515"/>
        <v>0</v>
      </c>
      <c r="S391" s="91">
        <f t="shared" si="515"/>
        <v>47625</v>
      </c>
      <c r="T391" s="91">
        <f t="shared" si="515"/>
        <v>0</v>
      </c>
      <c r="U391" s="91">
        <f t="shared" si="515"/>
        <v>0</v>
      </c>
      <c r="V391" s="91">
        <f t="shared" si="515"/>
        <v>0</v>
      </c>
      <c r="W391" s="91">
        <f t="shared" si="515"/>
        <v>0</v>
      </c>
      <c r="X391" s="91">
        <f t="shared" si="515"/>
        <v>0</v>
      </c>
      <c r="Y391" s="91">
        <f t="shared" si="515"/>
        <v>0</v>
      </c>
      <c r="Z391" s="91">
        <f t="shared" si="515"/>
        <v>0</v>
      </c>
      <c r="AA391" s="91">
        <f t="shared" si="515"/>
        <v>0</v>
      </c>
      <c r="AB391" s="91">
        <f t="shared" si="515"/>
        <v>47625</v>
      </c>
      <c r="AC391" s="91">
        <f t="shared" si="515"/>
        <v>0</v>
      </c>
      <c r="AD391" s="91">
        <f t="shared" si="515"/>
        <v>0</v>
      </c>
      <c r="AE391" s="91">
        <f t="shared" si="515"/>
        <v>27</v>
      </c>
      <c r="AF391" s="91">
        <f t="shared" si="515"/>
        <v>-8270</v>
      </c>
      <c r="AG391" s="91">
        <f t="shared" si="515"/>
        <v>0</v>
      </c>
      <c r="AH391" s="91">
        <f t="shared" si="515"/>
        <v>0</v>
      </c>
      <c r="AI391" s="91">
        <f t="shared" si="515"/>
        <v>39382</v>
      </c>
      <c r="AJ391" s="91">
        <f t="shared" si="515"/>
        <v>0</v>
      </c>
      <c r="AK391" s="91">
        <f t="shared" si="515"/>
        <v>0</v>
      </c>
      <c r="AL391" s="91">
        <f t="shared" si="515"/>
        <v>39382</v>
      </c>
      <c r="AM391" s="91">
        <f t="shared" si="515"/>
        <v>0</v>
      </c>
      <c r="AN391" s="91">
        <f t="shared" si="515"/>
        <v>2198</v>
      </c>
      <c r="AO391" s="91">
        <f t="shared" si="515"/>
        <v>25</v>
      </c>
      <c r="AP391" s="91">
        <f t="shared" si="515"/>
        <v>0</v>
      </c>
      <c r="AQ391" s="91">
        <f t="shared" si="515"/>
        <v>0</v>
      </c>
      <c r="AR391" s="91">
        <f t="shared" si="515"/>
        <v>41605</v>
      </c>
      <c r="AS391" s="91">
        <f t="shared" si="515"/>
        <v>0</v>
      </c>
      <c r="AT391" s="92">
        <f t="shared" si="515"/>
        <v>0</v>
      </c>
      <c r="AU391" s="92">
        <f t="shared" si="515"/>
        <v>0</v>
      </c>
      <c r="AV391" s="92">
        <f t="shared" si="515"/>
        <v>0</v>
      </c>
      <c r="AW391" s="92">
        <f t="shared" si="515"/>
        <v>41605</v>
      </c>
      <c r="AX391" s="92">
        <f t="shared" si="515"/>
        <v>0</v>
      </c>
      <c r="AY391" s="91">
        <f t="shared" si="515"/>
        <v>-378</v>
      </c>
      <c r="AZ391" s="91">
        <f t="shared" si="515"/>
        <v>0</v>
      </c>
      <c r="BA391" s="91">
        <f t="shared" si="515"/>
        <v>0</v>
      </c>
      <c r="BB391" s="91">
        <f t="shared" si="515"/>
        <v>0</v>
      </c>
      <c r="BC391" s="91">
        <f t="shared" si="515"/>
        <v>0</v>
      </c>
      <c r="BD391" s="91">
        <f t="shared" si="515"/>
        <v>41227</v>
      </c>
      <c r="BE391" s="91">
        <f t="shared" si="515"/>
        <v>0</v>
      </c>
      <c r="BF391" s="91">
        <f t="shared" si="515"/>
        <v>0</v>
      </c>
      <c r="BG391" s="91">
        <f t="shared" si="515"/>
        <v>0</v>
      </c>
      <c r="BH391" s="91">
        <f t="shared" si="515"/>
        <v>0</v>
      </c>
      <c r="BI391" s="91">
        <f t="shared" si="515"/>
        <v>41227</v>
      </c>
      <c r="BJ391" s="91">
        <f t="shared" si="515"/>
        <v>0</v>
      </c>
      <c r="BK391" s="91">
        <f t="shared" si="515"/>
        <v>19</v>
      </c>
      <c r="BL391" s="91">
        <f t="shared" si="515"/>
        <v>0</v>
      </c>
      <c r="BM391" s="91">
        <f t="shared" si="515"/>
        <v>0</v>
      </c>
      <c r="BN391" s="91">
        <f t="shared" si="515"/>
        <v>0</v>
      </c>
      <c r="BO391" s="91">
        <f t="shared" si="515"/>
        <v>41246</v>
      </c>
      <c r="BP391" s="91">
        <f t="shared" si="515"/>
        <v>0</v>
      </c>
      <c r="BQ391" s="91">
        <f t="shared" si="515"/>
        <v>0</v>
      </c>
      <c r="BR391" s="91"/>
      <c r="BS391" s="91">
        <f t="shared" si="515"/>
        <v>0</v>
      </c>
      <c r="BT391" s="91">
        <f t="shared" si="515"/>
        <v>0</v>
      </c>
      <c r="BU391" s="91">
        <f t="shared" si="515"/>
        <v>41246</v>
      </c>
      <c r="BV391" s="91">
        <f>BV392</f>
        <v>0</v>
      </c>
      <c r="BW391" s="91">
        <f t="shared" si="515"/>
        <v>36944</v>
      </c>
      <c r="BX391" s="91">
        <f>BX392</f>
        <v>0</v>
      </c>
      <c r="BY391" s="77">
        <f t="shared" si="514"/>
        <v>89.56989768704844</v>
      </c>
      <c r="BZ391" s="60"/>
    </row>
    <row r="392" spans="1:78" s="14" customFormat="1" ht="36.75" customHeight="1" hidden="1">
      <c r="A392" s="88" t="s">
        <v>129</v>
      </c>
      <c r="B392" s="89" t="s">
        <v>148</v>
      </c>
      <c r="C392" s="89" t="s">
        <v>3</v>
      </c>
      <c r="D392" s="90" t="s">
        <v>98</v>
      </c>
      <c r="E392" s="89" t="s">
        <v>130</v>
      </c>
      <c r="F392" s="75">
        <v>178860</v>
      </c>
      <c r="G392" s="75">
        <f>H392-F392</f>
        <v>-131235</v>
      </c>
      <c r="H392" s="75">
        <v>47625</v>
      </c>
      <c r="I392" s="78"/>
      <c r="J392" s="78"/>
      <c r="K392" s="78"/>
      <c r="L392" s="78"/>
      <c r="M392" s="75">
        <f>H392+J392+K392+L392</f>
        <v>47625</v>
      </c>
      <c r="N392" s="78">
        <f>I392+L392</f>
        <v>0</v>
      </c>
      <c r="O392" s="78"/>
      <c r="P392" s="78"/>
      <c r="Q392" s="78"/>
      <c r="R392" s="79"/>
      <c r="S392" s="75">
        <f>M392+O392+P392+Q392+R392</f>
        <v>47625</v>
      </c>
      <c r="T392" s="75">
        <f>N392+R392</f>
        <v>0</v>
      </c>
      <c r="U392" s="79"/>
      <c r="V392" s="78"/>
      <c r="W392" s="79"/>
      <c r="X392" s="79"/>
      <c r="Y392" s="79"/>
      <c r="Z392" s="79"/>
      <c r="AA392" s="79"/>
      <c r="AB392" s="75">
        <f>S392+U392+V392+W392+X392+Y392+Z392+AA392</f>
        <v>47625</v>
      </c>
      <c r="AC392" s="75">
        <f>T392+Z392+AA392</f>
        <v>0</v>
      </c>
      <c r="AD392" s="75"/>
      <c r="AE392" s="75">
        <f>6+23-2</f>
        <v>27</v>
      </c>
      <c r="AF392" s="75">
        <v>-8270</v>
      </c>
      <c r="AG392" s="75"/>
      <c r="AH392" s="75"/>
      <c r="AI392" s="75">
        <f>AB392+AD392+AE392+AF392+AG392+AH392</f>
        <v>39382</v>
      </c>
      <c r="AJ392" s="75">
        <f>AC392+AH392</f>
        <v>0</v>
      </c>
      <c r="AK392" s="79"/>
      <c r="AL392" s="75">
        <f>AI392+AK392</f>
        <v>39382</v>
      </c>
      <c r="AM392" s="75">
        <f>AJ392</f>
        <v>0</v>
      </c>
      <c r="AN392" s="75">
        <v>2198</v>
      </c>
      <c r="AO392" s="75">
        <v>25</v>
      </c>
      <c r="AP392" s="79"/>
      <c r="AQ392" s="79"/>
      <c r="AR392" s="75">
        <f>AL392+AN392+AO392+AP392+AQ392</f>
        <v>41605</v>
      </c>
      <c r="AS392" s="75">
        <f>AM392+AQ392</f>
        <v>0</v>
      </c>
      <c r="AT392" s="81"/>
      <c r="AU392" s="81"/>
      <c r="AV392" s="81"/>
      <c r="AW392" s="76">
        <f>AV392+AU392+AT392+AR392</f>
        <v>41605</v>
      </c>
      <c r="AX392" s="76">
        <f>AV392+AS392</f>
        <v>0</v>
      </c>
      <c r="AY392" s="75">
        <v>-378</v>
      </c>
      <c r="AZ392" s="75"/>
      <c r="BA392" s="75"/>
      <c r="BB392" s="75"/>
      <c r="BC392" s="75"/>
      <c r="BD392" s="75">
        <f>AW392+AY392+AZ392+BA392+BB392+BC392</f>
        <v>41227</v>
      </c>
      <c r="BE392" s="75">
        <f>AX392+BC392</f>
        <v>0</v>
      </c>
      <c r="BF392" s="79"/>
      <c r="BG392" s="79"/>
      <c r="BH392" s="79"/>
      <c r="BI392" s="75">
        <f>BD392+BF392+BG392+BH392</f>
        <v>41227</v>
      </c>
      <c r="BJ392" s="75">
        <f>BE392+BH392</f>
        <v>0</v>
      </c>
      <c r="BK392" s="78">
        <v>19</v>
      </c>
      <c r="BL392" s="78"/>
      <c r="BM392" s="78"/>
      <c r="BN392" s="78"/>
      <c r="BO392" s="75">
        <f>BI392+BK392+BL392+BM392+BN392</f>
        <v>41246</v>
      </c>
      <c r="BP392" s="75">
        <f>BJ392+BN392</f>
        <v>0</v>
      </c>
      <c r="BQ392" s="79"/>
      <c r="BR392" s="79"/>
      <c r="BS392" s="79"/>
      <c r="BT392" s="79"/>
      <c r="BU392" s="75">
        <f>BO392+BQ392+BS392+BT392</f>
        <v>41246</v>
      </c>
      <c r="BV392" s="75">
        <f>BP392+BT392</f>
        <v>0</v>
      </c>
      <c r="BW392" s="75">
        <v>36944</v>
      </c>
      <c r="BX392" s="75">
        <f>BR392+BV392</f>
        <v>0</v>
      </c>
      <c r="BY392" s="77">
        <f t="shared" si="514"/>
        <v>89.56989768704844</v>
      </c>
      <c r="BZ392" s="60"/>
    </row>
    <row r="393" spans="1:78" s="11" customFormat="1" ht="26.25" customHeight="1" hidden="1">
      <c r="A393" s="88" t="s">
        <v>106</v>
      </c>
      <c r="B393" s="89" t="s">
        <v>148</v>
      </c>
      <c r="C393" s="89" t="s">
        <v>3</v>
      </c>
      <c r="D393" s="90" t="s">
        <v>107</v>
      </c>
      <c r="E393" s="89"/>
      <c r="F393" s="91">
        <f aca="true" t="shared" si="516" ref="F393:BQ393">F394</f>
        <v>39093</v>
      </c>
      <c r="G393" s="91">
        <f t="shared" si="516"/>
        <v>7810</v>
      </c>
      <c r="H393" s="91">
        <f t="shared" si="516"/>
        <v>46903</v>
      </c>
      <c r="I393" s="91">
        <f t="shared" si="516"/>
        <v>0</v>
      </c>
      <c r="J393" s="91">
        <f t="shared" si="516"/>
        <v>0</v>
      </c>
      <c r="K393" s="91">
        <f t="shared" si="516"/>
        <v>0</v>
      </c>
      <c r="L393" s="91">
        <f t="shared" si="516"/>
        <v>0</v>
      </c>
      <c r="M393" s="91">
        <f t="shared" si="516"/>
        <v>46903</v>
      </c>
      <c r="N393" s="91">
        <f t="shared" si="516"/>
        <v>0</v>
      </c>
      <c r="O393" s="91">
        <f t="shared" si="516"/>
        <v>0</v>
      </c>
      <c r="P393" s="91"/>
      <c r="Q393" s="91">
        <f t="shared" si="516"/>
        <v>0</v>
      </c>
      <c r="R393" s="91">
        <f t="shared" si="516"/>
        <v>0</v>
      </c>
      <c r="S393" s="91">
        <f t="shared" si="516"/>
        <v>46903</v>
      </c>
      <c r="T393" s="91">
        <f t="shared" si="516"/>
        <v>0</v>
      </c>
      <c r="U393" s="91">
        <f t="shared" si="516"/>
        <v>0</v>
      </c>
      <c r="V393" s="91">
        <f t="shared" si="516"/>
        <v>0</v>
      </c>
      <c r="W393" s="91">
        <f t="shared" si="516"/>
        <v>0</v>
      </c>
      <c r="X393" s="91">
        <f t="shared" si="516"/>
        <v>0</v>
      </c>
      <c r="Y393" s="91">
        <f t="shared" si="516"/>
        <v>0</v>
      </c>
      <c r="Z393" s="91">
        <f t="shared" si="516"/>
        <v>0</v>
      </c>
      <c r="AA393" s="91">
        <f t="shared" si="516"/>
        <v>0</v>
      </c>
      <c r="AB393" s="91">
        <f t="shared" si="516"/>
        <v>46903</v>
      </c>
      <c r="AC393" s="91">
        <f t="shared" si="516"/>
        <v>0</v>
      </c>
      <c r="AD393" s="91">
        <f t="shared" si="516"/>
        <v>0</v>
      </c>
      <c r="AE393" s="91">
        <f t="shared" si="516"/>
        <v>25</v>
      </c>
      <c r="AF393" s="91">
        <f t="shared" si="516"/>
        <v>0</v>
      </c>
      <c r="AG393" s="91">
        <f t="shared" si="516"/>
        <v>0</v>
      </c>
      <c r="AH393" s="91">
        <f t="shared" si="516"/>
        <v>0</v>
      </c>
      <c r="AI393" s="91">
        <f t="shared" si="516"/>
        <v>46928</v>
      </c>
      <c r="AJ393" s="91">
        <f t="shared" si="516"/>
        <v>0</v>
      </c>
      <c r="AK393" s="91">
        <f t="shared" si="516"/>
        <v>0</v>
      </c>
      <c r="AL393" s="91">
        <f t="shared" si="516"/>
        <v>46928</v>
      </c>
      <c r="AM393" s="91">
        <f t="shared" si="516"/>
        <v>0</v>
      </c>
      <c r="AN393" s="91">
        <f t="shared" si="516"/>
        <v>0</v>
      </c>
      <c r="AO393" s="91">
        <f t="shared" si="516"/>
        <v>24</v>
      </c>
      <c r="AP393" s="91">
        <f t="shared" si="516"/>
        <v>0</v>
      </c>
      <c r="AQ393" s="91">
        <f t="shared" si="516"/>
        <v>0</v>
      </c>
      <c r="AR393" s="91">
        <f t="shared" si="516"/>
        <v>46952</v>
      </c>
      <c r="AS393" s="91">
        <f t="shared" si="516"/>
        <v>0</v>
      </c>
      <c r="AT393" s="92">
        <f t="shared" si="516"/>
        <v>0</v>
      </c>
      <c r="AU393" s="92">
        <f t="shared" si="516"/>
        <v>0</v>
      </c>
      <c r="AV393" s="92">
        <f t="shared" si="516"/>
        <v>0</v>
      </c>
      <c r="AW393" s="92">
        <f t="shared" si="516"/>
        <v>46952</v>
      </c>
      <c r="AX393" s="92">
        <f t="shared" si="516"/>
        <v>0</v>
      </c>
      <c r="AY393" s="91">
        <f t="shared" si="516"/>
        <v>-696</v>
      </c>
      <c r="AZ393" s="91">
        <f t="shared" si="516"/>
        <v>0</v>
      </c>
      <c r="BA393" s="91">
        <f t="shared" si="516"/>
        <v>0</v>
      </c>
      <c r="BB393" s="91">
        <f t="shared" si="516"/>
        <v>0</v>
      </c>
      <c r="BC393" s="91">
        <f t="shared" si="516"/>
        <v>0</v>
      </c>
      <c r="BD393" s="91">
        <f t="shared" si="516"/>
        <v>46256</v>
      </c>
      <c r="BE393" s="91">
        <f t="shared" si="516"/>
        <v>0</v>
      </c>
      <c r="BF393" s="91">
        <f t="shared" si="516"/>
        <v>0</v>
      </c>
      <c r="BG393" s="91">
        <f t="shared" si="516"/>
        <v>0</v>
      </c>
      <c r="BH393" s="91">
        <f t="shared" si="516"/>
        <v>0</v>
      </c>
      <c r="BI393" s="91">
        <f t="shared" si="516"/>
        <v>46256</v>
      </c>
      <c r="BJ393" s="91">
        <f t="shared" si="516"/>
        <v>0</v>
      </c>
      <c r="BK393" s="91">
        <f t="shared" si="516"/>
        <v>21</v>
      </c>
      <c r="BL393" s="91">
        <f t="shared" si="516"/>
        <v>0</v>
      </c>
      <c r="BM393" s="91">
        <f t="shared" si="516"/>
        <v>0</v>
      </c>
      <c r="BN393" s="91">
        <f t="shared" si="516"/>
        <v>0</v>
      </c>
      <c r="BO393" s="91">
        <f t="shared" si="516"/>
        <v>46277</v>
      </c>
      <c r="BP393" s="91">
        <f t="shared" si="516"/>
        <v>0</v>
      </c>
      <c r="BQ393" s="91">
        <f t="shared" si="516"/>
        <v>-125</v>
      </c>
      <c r="BR393" s="91"/>
      <c r="BS393" s="91">
        <f aca="true" t="shared" si="517" ref="BS393:BX393">BS394</f>
        <v>0</v>
      </c>
      <c r="BT393" s="91">
        <f t="shared" si="517"/>
        <v>0</v>
      </c>
      <c r="BU393" s="91">
        <f t="shared" si="517"/>
        <v>46152</v>
      </c>
      <c r="BV393" s="91">
        <f t="shared" si="517"/>
        <v>0</v>
      </c>
      <c r="BW393" s="91">
        <f t="shared" si="517"/>
        <v>45291</v>
      </c>
      <c r="BX393" s="91">
        <f t="shared" si="517"/>
        <v>0</v>
      </c>
      <c r="BY393" s="77">
        <f t="shared" si="514"/>
        <v>98.13442537701508</v>
      </c>
      <c r="BZ393" s="60"/>
    </row>
    <row r="394" spans="1:78" s="14" customFormat="1" ht="42" customHeight="1" hidden="1">
      <c r="A394" s="88" t="s">
        <v>129</v>
      </c>
      <c r="B394" s="89" t="s">
        <v>148</v>
      </c>
      <c r="C394" s="89" t="s">
        <v>3</v>
      </c>
      <c r="D394" s="90" t="s">
        <v>107</v>
      </c>
      <c r="E394" s="89" t="s">
        <v>130</v>
      </c>
      <c r="F394" s="75">
        <v>39093</v>
      </c>
      <c r="G394" s="75">
        <f>H394-F394</f>
        <v>7810</v>
      </c>
      <c r="H394" s="75">
        <v>46903</v>
      </c>
      <c r="I394" s="78"/>
      <c r="J394" s="78"/>
      <c r="K394" s="78"/>
      <c r="L394" s="78"/>
      <c r="M394" s="75">
        <f>H394+J394+K394+L394</f>
        <v>46903</v>
      </c>
      <c r="N394" s="78">
        <f>I394+L394</f>
        <v>0</v>
      </c>
      <c r="O394" s="78"/>
      <c r="P394" s="78"/>
      <c r="Q394" s="78"/>
      <c r="R394" s="79"/>
      <c r="S394" s="75">
        <f>M394+O394+P394+Q394+R394</f>
        <v>46903</v>
      </c>
      <c r="T394" s="75">
        <f>N394+R394</f>
        <v>0</v>
      </c>
      <c r="U394" s="79"/>
      <c r="V394" s="78"/>
      <c r="W394" s="79"/>
      <c r="X394" s="79"/>
      <c r="Y394" s="79"/>
      <c r="Z394" s="79"/>
      <c r="AA394" s="79"/>
      <c r="AB394" s="75">
        <f>S394+U394+V394+W394+X394+Y394+Z394+AA394</f>
        <v>46903</v>
      </c>
      <c r="AC394" s="75">
        <f>T394+Z394+AA394</f>
        <v>0</v>
      </c>
      <c r="AD394" s="75"/>
      <c r="AE394" s="75">
        <v>25</v>
      </c>
      <c r="AF394" s="75"/>
      <c r="AG394" s="75"/>
      <c r="AH394" s="75"/>
      <c r="AI394" s="75">
        <f>AB394+AD394+AE394+AF394+AG394+AH394</f>
        <v>46928</v>
      </c>
      <c r="AJ394" s="75">
        <f>AC394+AH394</f>
        <v>0</v>
      </c>
      <c r="AK394" s="79"/>
      <c r="AL394" s="75">
        <f>AI394+AK394</f>
        <v>46928</v>
      </c>
      <c r="AM394" s="75">
        <f>AJ394</f>
        <v>0</v>
      </c>
      <c r="AN394" s="79"/>
      <c r="AO394" s="78">
        <v>24</v>
      </c>
      <c r="AP394" s="79"/>
      <c r="AQ394" s="79"/>
      <c r="AR394" s="75">
        <f>AL394+AN394+AO394+AP394+AQ394</f>
        <v>46952</v>
      </c>
      <c r="AS394" s="75">
        <f>AM394+AQ394</f>
        <v>0</v>
      </c>
      <c r="AT394" s="81"/>
      <c r="AU394" s="81"/>
      <c r="AV394" s="81"/>
      <c r="AW394" s="76">
        <f>AV394+AU394+AT394+AR394</f>
        <v>46952</v>
      </c>
      <c r="AX394" s="76">
        <f>AV394+AS394</f>
        <v>0</v>
      </c>
      <c r="AY394" s="75">
        <v>-696</v>
      </c>
      <c r="AZ394" s="75"/>
      <c r="BA394" s="75"/>
      <c r="BB394" s="75"/>
      <c r="BC394" s="75"/>
      <c r="BD394" s="75">
        <f>AW394+AY394+AZ394+BA394+BB394+BC394</f>
        <v>46256</v>
      </c>
      <c r="BE394" s="75">
        <f>AX394+BC394</f>
        <v>0</v>
      </c>
      <c r="BF394" s="79"/>
      <c r="BG394" s="79"/>
      <c r="BH394" s="79"/>
      <c r="BI394" s="75">
        <f>BD394+BF394+BG394+BH394</f>
        <v>46256</v>
      </c>
      <c r="BJ394" s="75">
        <f>BE394+BH394</f>
        <v>0</v>
      </c>
      <c r="BK394" s="78">
        <v>21</v>
      </c>
      <c r="BL394" s="78"/>
      <c r="BM394" s="78"/>
      <c r="BN394" s="78"/>
      <c r="BO394" s="75">
        <f>BI394+BK394+BL394+BM394+BN394</f>
        <v>46277</v>
      </c>
      <c r="BP394" s="75">
        <f>BJ394+BN394</f>
        <v>0</v>
      </c>
      <c r="BQ394" s="78">
        <v>-125</v>
      </c>
      <c r="BR394" s="78"/>
      <c r="BS394" s="79"/>
      <c r="BT394" s="79"/>
      <c r="BU394" s="75">
        <f>BO394+BQ394+BS394+BT394</f>
        <v>46152</v>
      </c>
      <c r="BV394" s="75">
        <f>BP394+BT394</f>
        <v>0</v>
      </c>
      <c r="BW394" s="75">
        <f>45292-1</f>
        <v>45291</v>
      </c>
      <c r="BX394" s="75">
        <f>BR394+BV394</f>
        <v>0</v>
      </c>
      <c r="BY394" s="77">
        <f t="shared" si="514"/>
        <v>98.13442537701508</v>
      </c>
      <c r="BZ394" s="60"/>
    </row>
    <row r="395" spans="1:78" s="14" customFormat="1" ht="42" customHeight="1" hidden="1">
      <c r="A395" s="88" t="s">
        <v>121</v>
      </c>
      <c r="B395" s="89" t="s">
        <v>148</v>
      </c>
      <c r="C395" s="89" t="s">
        <v>3</v>
      </c>
      <c r="D395" s="90" t="s">
        <v>123</v>
      </c>
      <c r="E395" s="89"/>
      <c r="F395" s="75">
        <f aca="true" t="shared" si="518" ref="F395:O395">F396</f>
        <v>0</v>
      </c>
      <c r="G395" s="75">
        <f t="shared" si="518"/>
        <v>52057</v>
      </c>
      <c r="H395" s="75">
        <f t="shared" si="518"/>
        <v>52057</v>
      </c>
      <c r="I395" s="75">
        <f t="shared" si="518"/>
        <v>0</v>
      </c>
      <c r="J395" s="75">
        <f t="shared" si="518"/>
        <v>0</v>
      </c>
      <c r="K395" s="75">
        <f t="shared" si="518"/>
        <v>0</v>
      </c>
      <c r="L395" s="75">
        <f t="shared" si="518"/>
        <v>0</v>
      </c>
      <c r="M395" s="75">
        <f t="shared" si="518"/>
        <v>52057</v>
      </c>
      <c r="N395" s="75">
        <f t="shared" si="518"/>
        <v>0</v>
      </c>
      <c r="O395" s="75">
        <f t="shared" si="518"/>
        <v>0</v>
      </c>
      <c r="P395" s="75"/>
      <c r="Q395" s="75">
        <f aca="true" t="shared" si="519" ref="Q395:BC395">Q396</f>
        <v>0</v>
      </c>
      <c r="R395" s="75">
        <f t="shared" si="519"/>
        <v>0</v>
      </c>
      <c r="S395" s="75">
        <f t="shared" si="519"/>
        <v>52057</v>
      </c>
      <c r="T395" s="75">
        <f t="shared" si="519"/>
        <v>0</v>
      </c>
      <c r="U395" s="75">
        <f t="shared" si="519"/>
        <v>0</v>
      </c>
      <c r="V395" s="75">
        <f t="shared" si="519"/>
        <v>0</v>
      </c>
      <c r="W395" s="75">
        <f t="shared" si="519"/>
        <v>0</v>
      </c>
      <c r="X395" s="75">
        <f t="shared" si="519"/>
        <v>0</v>
      </c>
      <c r="Y395" s="75">
        <f t="shared" si="519"/>
        <v>0</v>
      </c>
      <c r="Z395" s="75">
        <f t="shared" si="519"/>
        <v>0</v>
      </c>
      <c r="AA395" s="75">
        <f t="shared" si="519"/>
        <v>0</v>
      </c>
      <c r="AB395" s="75">
        <f t="shared" si="519"/>
        <v>52057</v>
      </c>
      <c r="AC395" s="75">
        <f t="shared" si="519"/>
        <v>0</v>
      </c>
      <c r="AD395" s="75">
        <f t="shared" si="519"/>
        <v>0</v>
      </c>
      <c r="AE395" s="75">
        <f t="shared" si="519"/>
        <v>0</v>
      </c>
      <c r="AF395" s="75">
        <f t="shared" si="519"/>
        <v>0</v>
      </c>
      <c r="AG395" s="75">
        <f t="shared" si="519"/>
        <v>0</v>
      </c>
      <c r="AH395" s="75">
        <f t="shared" si="519"/>
        <v>0</v>
      </c>
      <c r="AI395" s="75">
        <f t="shared" si="519"/>
        <v>52057</v>
      </c>
      <c r="AJ395" s="75">
        <f t="shared" si="519"/>
        <v>0</v>
      </c>
      <c r="AK395" s="75">
        <f t="shared" si="519"/>
        <v>0</v>
      </c>
      <c r="AL395" s="75">
        <f t="shared" si="519"/>
        <v>52057</v>
      </c>
      <c r="AM395" s="75">
        <f t="shared" si="519"/>
        <v>0</v>
      </c>
      <c r="AN395" s="75">
        <f t="shared" si="519"/>
        <v>0</v>
      </c>
      <c r="AO395" s="75">
        <f t="shared" si="519"/>
        <v>0</v>
      </c>
      <c r="AP395" s="75">
        <f t="shared" si="519"/>
        <v>0</v>
      </c>
      <c r="AQ395" s="75">
        <f t="shared" si="519"/>
        <v>0</v>
      </c>
      <c r="AR395" s="75">
        <f t="shared" si="519"/>
        <v>52057</v>
      </c>
      <c r="AS395" s="75">
        <f t="shared" si="519"/>
        <v>0</v>
      </c>
      <c r="AT395" s="76">
        <f t="shared" si="519"/>
        <v>0</v>
      </c>
      <c r="AU395" s="76">
        <f t="shared" si="519"/>
        <v>0</v>
      </c>
      <c r="AV395" s="76">
        <f t="shared" si="519"/>
        <v>0</v>
      </c>
      <c r="AW395" s="76">
        <f t="shared" si="519"/>
        <v>52057</v>
      </c>
      <c r="AX395" s="76">
        <f t="shared" si="519"/>
        <v>0</v>
      </c>
      <c r="AY395" s="75">
        <f t="shared" si="519"/>
        <v>-24358</v>
      </c>
      <c r="AZ395" s="75">
        <f t="shared" si="519"/>
        <v>0</v>
      </c>
      <c r="BA395" s="75">
        <f t="shared" si="519"/>
        <v>0</v>
      </c>
      <c r="BB395" s="75">
        <f t="shared" si="519"/>
        <v>13333</v>
      </c>
      <c r="BC395" s="75">
        <f t="shared" si="519"/>
        <v>0</v>
      </c>
      <c r="BD395" s="75">
        <f>BD396</f>
        <v>41032</v>
      </c>
      <c r="BE395" s="75">
        <f aca="true" t="shared" si="520" ref="BE395:BX395">BE396</f>
        <v>0</v>
      </c>
      <c r="BF395" s="75">
        <f t="shared" si="520"/>
        <v>0</v>
      </c>
      <c r="BG395" s="75">
        <f t="shared" si="520"/>
        <v>0</v>
      </c>
      <c r="BH395" s="75">
        <f t="shared" si="520"/>
        <v>0</v>
      </c>
      <c r="BI395" s="75">
        <f t="shared" si="520"/>
        <v>41032</v>
      </c>
      <c r="BJ395" s="75">
        <f t="shared" si="520"/>
        <v>0</v>
      </c>
      <c r="BK395" s="75">
        <f t="shared" si="520"/>
        <v>0</v>
      </c>
      <c r="BL395" s="75">
        <f t="shared" si="520"/>
        <v>0</v>
      </c>
      <c r="BM395" s="75">
        <f t="shared" si="520"/>
        <v>0</v>
      </c>
      <c r="BN395" s="75">
        <f t="shared" si="520"/>
        <v>0</v>
      </c>
      <c r="BO395" s="75">
        <f t="shared" si="520"/>
        <v>41032</v>
      </c>
      <c r="BP395" s="75">
        <f t="shared" si="520"/>
        <v>0</v>
      </c>
      <c r="BQ395" s="75">
        <f t="shared" si="520"/>
        <v>-2384</v>
      </c>
      <c r="BR395" s="75"/>
      <c r="BS395" s="75">
        <f t="shared" si="520"/>
        <v>0</v>
      </c>
      <c r="BT395" s="75">
        <f t="shared" si="520"/>
        <v>0</v>
      </c>
      <c r="BU395" s="75">
        <f t="shared" si="520"/>
        <v>38648</v>
      </c>
      <c r="BV395" s="75">
        <f t="shared" si="520"/>
        <v>0</v>
      </c>
      <c r="BW395" s="75">
        <f t="shared" si="520"/>
        <v>34255</v>
      </c>
      <c r="BX395" s="75">
        <f t="shared" si="520"/>
        <v>0</v>
      </c>
      <c r="BY395" s="77">
        <f t="shared" si="514"/>
        <v>88.63330573380253</v>
      </c>
      <c r="BZ395" s="60"/>
    </row>
    <row r="396" spans="1:78" s="14" customFormat="1" ht="69.75" customHeight="1" hidden="1">
      <c r="A396" s="88" t="s">
        <v>138</v>
      </c>
      <c r="B396" s="89" t="s">
        <v>148</v>
      </c>
      <c r="C396" s="89" t="s">
        <v>3</v>
      </c>
      <c r="D396" s="90" t="s">
        <v>122</v>
      </c>
      <c r="E396" s="89" t="s">
        <v>139</v>
      </c>
      <c r="F396" s="75"/>
      <c r="G396" s="75">
        <f>H396-F396</f>
        <v>52057</v>
      </c>
      <c r="H396" s="75">
        <v>52057</v>
      </c>
      <c r="I396" s="78"/>
      <c r="J396" s="78"/>
      <c r="K396" s="78"/>
      <c r="L396" s="78"/>
      <c r="M396" s="75">
        <f>H396+J396+K396+L396</f>
        <v>52057</v>
      </c>
      <c r="N396" s="78">
        <f>I396+L396</f>
        <v>0</v>
      </c>
      <c r="O396" s="78"/>
      <c r="P396" s="78"/>
      <c r="Q396" s="79"/>
      <c r="R396" s="79"/>
      <c r="S396" s="75">
        <f>M396+O396+P396+Q396+R396</f>
        <v>52057</v>
      </c>
      <c r="T396" s="75">
        <f>N396+R396</f>
        <v>0</v>
      </c>
      <c r="U396" s="79"/>
      <c r="V396" s="79"/>
      <c r="W396" s="79"/>
      <c r="X396" s="79"/>
      <c r="Y396" s="79"/>
      <c r="Z396" s="79"/>
      <c r="AA396" s="79"/>
      <c r="AB396" s="75">
        <f>S396+U396+V396+W396+X396+Y396+Z396+AA396</f>
        <v>52057</v>
      </c>
      <c r="AC396" s="75">
        <f>T396+Z396+AA396</f>
        <v>0</v>
      </c>
      <c r="AD396" s="75"/>
      <c r="AE396" s="75"/>
      <c r="AF396" s="75"/>
      <c r="AG396" s="75"/>
      <c r="AH396" s="75"/>
      <c r="AI396" s="75">
        <f>AB396+AD396+AE396+AF396+AG396+AH396</f>
        <v>52057</v>
      </c>
      <c r="AJ396" s="75">
        <f>AC396+AH396</f>
        <v>0</v>
      </c>
      <c r="AK396" s="79"/>
      <c r="AL396" s="75">
        <f>AI396+AK396</f>
        <v>52057</v>
      </c>
      <c r="AM396" s="75">
        <f>AJ396</f>
        <v>0</v>
      </c>
      <c r="AN396" s="79"/>
      <c r="AO396" s="79"/>
      <c r="AP396" s="79"/>
      <c r="AQ396" s="79"/>
      <c r="AR396" s="75">
        <f>AL396+AN396+AO396+AP396+AQ396</f>
        <v>52057</v>
      </c>
      <c r="AS396" s="75">
        <f>AM396+AQ396</f>
        <v>0</v>
      </c>
      <c r="AT396" s="81"/>
      <c r="AU396" s="81"/>
      <c r="AV396" s="81"/>
      <c r="AW396" s="76">
        <f>AV396+AU396+AT396+AR396</f>
        <v>52057</v>
      </c>
      <c r="AX396" s="76">
        <f>AV396+AS396</f>
        <v>0</v>
      </c>
      <c r="AY396" s="75">
        <v>-24358</v>
      </c>
      <c r="AZ396" s="75"/>
      <c r="BA396" s="75"/>
      <c r="BB396" s="75">
        <v>13333</v>
      </c>
      <c r="BC396" s="75"/>
      <c r="BD396" s="75">
        <f>AW396+AY396+AZ396+BA396+BB396+BC396</f>
        <v>41032</v>
      </c>
      <c r="BE396" s="75">
        <f>AX396+BC396</f>
        <v>0</v>
      </c>
      <c r="BF396" s="79"/>
      <c r="BG396" s="79"/>
      <c r="BH396" s="79"/>
      <c r="BI396" s="75">
        <f>BD396+BF396+BG396+BH396</f>
        <v>41032</v>
      </c>
      <c r="BJ396" s="75">
        <f>BE396+BH396</f>
        <v>0</v>
      </c>
      <c r="BK396" s="78"/>
      <c r="BL396" s="78"/>
      <c r="BM396" s="78"/>
      <c r="BN396" s="78"/>
      <c r="BO396" s="75">
        <f>BI396+BK396+BL396+BM396+BN396</f>
        <v>41032</v>
      </c>
      <c r="BP396" s="75">
        <f>BJ396+BN396</f>
        <v>0</v>
      </c>
      <c r="BQ396" s="75">
        <v>-2384</v>
      </c>
      <c r="BR396" s="75"/>
      <c r="BS396" s="79"/>
      <c r="BT396" s="79"/>
      <c r="BU396" s="75">
        <f>BO396+BQ396+BS396+BT396</f>
        <v>38648</v>
      </c>
      <c r="BV396" s="75">
        <f>BP396+BT396</f>
        <v>0</v>
      </c>
      <c r="BW396" s="75">
        <v>34255</v>
      </c>
      <c r="BX396" s="75">
        <f>BR396+BV396</f>
        <v>0</v>
      </c>
      <c r="BY396" s="77">
        <f t="shared" si="514"/>
        <v>88.63330573380253</v>
      </c>
      <c r="BZ396" s="60"/>
    </row>
    <row r="397" spans="1:78" ht="15" customHeight="1">
      <c r="A397" s="176"/>
      <c r="B397" s="83"/>
      <c r="C397" s="83"/>
      <c r="D397" s="84"/>
      <c r="E397" s="83"/>
      <c r="F397" s="50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2"/>
      <c r="T397" s="52"/>
      <c r="U397" s="51"/>
      <c r="V397" s="51"/>
      <c r="W397" s="51"/>
      <c r="X397" s="51"/>
      <c r="Y397" s="51"/>
      <c r="Z397" s="51"/>
      <c r="AA397" s="51"/>
      <c r="AB397" s="51"/>
      <c r="AC397" s="51"/>
      <c r="AD397" s="52"/>
      <c r="AE397" s="52"/>
      <c r="AF397" s="52"/>
      <c r="AG397" s="52"/>
      <c r="AH397" s="52"/>
      <c r="AI397" s="52"/>
      <c r="AJ397" s="52"/>
      <c r="AK397" s="51"/>
      <c r="AL397" s="51"/>
      <c r="AM397" s="51"/>
      <c r="AN397" s="51"/>
      <c r="AO397" s="51"/>
      <c r="AP397" s="51"/>
      <c r="AQ397" s="51"/>
      <c r="AR397" s="51"/>
      <c r="AS397" s="51"/>
      <c r="AT397" s="53"/>
      <c r="AU397" s="53"/>
      <c r="AV397" s="53"/>
      <c r="AW397" s="53"/>
      <c r="AX397" s="53"/>
      <c r="AY397" s="52"/>
      <c r="AZ397" s="52"/>
      <c r="BA397" s="52"/>
      <c r="BB397" s="52"/>
      <c r="BC397" s="52"/>
      <c r="BD397" s="54"/>
      <c r="BE397" s="54"/>
      <c r="BF397" s="51"/>
      <c r="BG397" s="51"/>
      <c r="BH397" s="51"/>
      <c r="BI397" s="51"/>
      <c r="BJ397" s="51"/>
      <c r="BK397" s="54"/>
      <c r="BL397" s="54"/>
      <c r="BM397" s="54"/>
      <c r="BN397" s="54"/>
      <c r="BO397" s="54"/>
      <c r="BP397" s="54"/>
      <c r="BQ397" s="51"/>
      <c r="BR397" s="51"/>
      <c r="BS397" s="51"/>
      <c r="BT397" s="51"/>
      <c r="BU397" s="51"/>
      <c r="BV397" s="51"/>
      <c r="BW397" s="51"/>
      <c r="BX397" s="51"/>
      <c r="BY397" s="60"/>
      <c r="BZ397" s="60"/>
    </row>
    <row r="398" spans="1:78" s="10" customFormat="1" ht="23.25" customHeight="1">
      <c r="A398" s="55" t="s">
        <v>112</v>
      </c>
      <c r="B398" s="56" t="s">
        <v>113</v>
      </c>
      <c r="C398" s="56"/>
      <c r="D398" s="57"/>
      <c r="E398" s="56"/>
      <c r="F398" s="120">
        <f aca="true" t="shared" si="521" ref="F398:AJ398">F400+F406+F410+F445+F456</f>
        <v>271138</v>
      </c>
      <c r="G398" s="120">
        <f t="shared" si="521"/>
        <v>448194</v>
      </c>
      <c r="H398" s="120">
        <f t="shared" si="521"/>
        <v>719332</v>
      </c>
      <c r="I398" s="120">
        <f t="shared" si="521"/>
        <v>336978</v>
      </c>
      <c r="J398" s="120">
        <f t="shared" si="521"/>
        <v>0</v>
      </c>
      <c r="K398" s="120">
        <f t="shared" si="521"/>
        <v>0</v>
      </c>
      <c r="L398" s="120">
        <f t="shared" si="521"/>
        <v>-60315</v>
      </c>
      <c r="M398" s="120">
        <f t="shared" si="521"/>
        <v>659017</v>
      </c>
      <c r="N398" s="120">
        <f t="shared" si="521"/>
        <v>276663</v>
      </c>
      <c r="O398" s="120">
        <f t="shared" si="521"/>
        <v>0</v>
      </c>
      <c r="P398" s="120">
        <f t="shared" si="521"/>
        <v>0</v>
      </c>
      <c r="Q398" s="120">
        <f t="shared" si="521"/>
        <v>0</v>
      </c>
      <c r="R398" s="120">
        <f t="shared" si="521"/>
        <v>0</v>
      </c>
      <c r="S398" s="120">
        <f t="shared" si="521"/>
        <v>659017</v>
      </c>
      <c r="T398" s="120">
        <f t="shared" si="521"/>
        <v>276663</v>
      </c>
      <c r="U398" s="120">
        <f t="shared" si="521"/>
        <v>0</v>
      </c>
      <c r="V398" s="120">
        <f t="shared" si="521"/>
        <v>0</v>
      </c>
      <c r="W398" s="120">
        <f t="shared" si="521"/>
        <v>0</v>
      </c>
      <c r="X398" s="120">
        <f t="shared" si="521"/>
        <v>0</v>
      </c>
      <c r="Y398" s="120">
        <f t="shared" si="521"/>
        <v>0</v>
      </c>
      <c r="Z398" s="120">
        <f t="shared" si="521"/>
        <v>8</v>
      </c>
      <c r="AA398" s="120">
        <f t="shared" si="521"/>
        <v>16621</v>
      </c>
      <c r="AB398" s="120">
        <f t="shared" si="521"/>
        <v>675646</v>
      </c>
      <c r="AC398" s="120">
        <f t="shared" si="521"/>
        <v>293292</v>
      </c>
      <c r="AD398" s="120">
        <f t="shared" si="521"/>
        <v>2</v>
      </c>
      <c r="AE398" s="120">
        <f t="shared" si="521"/>
        <v>207</v>
      </c>
      <c r="AF398" s="120">
        <f t="shared" si="521"/>
        <v>-126460</v>
      </c>
      <c r="AG398" s="120">
        <f t="shared" si="521"/>
        <v>0</v>
      </c>
      <c r="AH398" s="120">
        <f t="shared" si="521"/>
        <v>0</v>
      </c>
      <c r="AI398" s="120">
        <f t="shared" si="521"/>
        <v>549395</v>
      </c>
      <c r="AJ398" s="120">
        <f t="shared" si="521"/>
        <v>293292</v>
      </c>
      <c r="AK398" s="120">
        <f aca="true" t="shared" si="522" ref="AK398:AS398">AK400+AK406+AK410+AK445+AK456</f>
        <v>0</v>
      </c>
      <c r="AL398" s="120">
        <f t="shared" si="522"/>
        <v>549395</v>
      </c>
      <c r="AM398" s="120">
        <f t="shared" si="522"/>
        <v>293292</v>
      </c>
      <c r="AN398" s="120">
        <f t="shared" si="522"/>
        <v>0</v>
      </c>
      <c r="AO398" s="120">
        <f>AO400+AO406+AO410+AO445+AO456</f>
        <v>183</v>
      </c>
      <c r="AP398" s="120">
        <f t="shared" si="522"/>
        <v>1</v>
      </c>
      <c r="AQ398" s="120">
        <f t="shared" si="522"/>
        <v>23626</v>
      </c>
      <c r="AR398" s="120">
        <f t="shared" si="522"/>
        <v>573205</v>
      </c>
      <c r="AS398" s="120">
        <f t="shared" si="522"/>
        <v>316918</v>
      </c>
      <c r="AT398" s="121">
        <f aca="true" t="shared" si="523" ref="AT398:BE398">AT400+AT406+AT410+AT445+AT456</f>
        <v>0</v>
      </c>
      <c r="AU398" s="121">
        <f t="shared" si="523"/>
        <v>-1870</v>
      </c>
      <c r="AV398" s="121">
        <f t="shared" si="523"/>
        <v>0</v>
      </c>
      <c r="AW398" s="121">
        <f t="shared" si="523"/>
        <v>571335</v>
      </c>
      <c r="AX398" s="121">
        <f t="shared" si="523"/>
        <v>316918</v>
      </c>
      <c r="AY398" s="120">
        <f t="shared" si="523"/>
        <v>-39004</v>
      </c>
      <c r="AZ398" s="120">
        <f t="shared" si="523"/>
        <v>420</v>
      </c>
      <c r="BA398" s="120">
        <f t="shared" si="523"/>
        <v>0</v>
      </c>
      <c r="BB398" s="120">
        <f t="shared" si="523"/>
        <v>0</v>
      </c>
      <c r="BC398" s="120">
        <f t="shared" si="523"/>
        <v>44854</v>
      </c>
      <c r="BD398" s="120">
        <f t="shared" si="523"/>
        <v>577605</v>
      </c>
      <c r="BE398" s="120">
        <f t="shared" si="523"/>
        <v>361772</v>
      </c>
      <c r="BF398" s="120">
        <f>BF400+BF406+BF410+BF445+BF456</f>
        <v>1996</v>
      </c>
      <c r="BG398" s="120">
        <f>BG400+BG406+BG410+BG445+BG456</f>
        <v>0</v>
      </c>
      <c r="BH398" s="120">
        <f>BH400+BH406+BH410+BH445+BH456</f>
        <v>0</v>
      </c>
      <c r="BI398" s="120">
        <f>BI400+BI406+BI410+BI445+BI456</f>
        <v>579601</v>
      </c>
      <c r="BJ398" s="120">
        <f>BJ400+BJ406+BJ410+BJ445+BJ456</f>
        <v>361772</v>
      </c>
      <c r="BK398" s="120">
        <f aca="true" t="shared" si="524" ref="BK398:BP398">BK400+BK406+BK410+BK445+BK456</f>
        <v>0</v>
      </c>
      <c r="BL398" s="120">
        <f t="shared" si="524"/>
        <v>0</v>
      </c>
      <c r="BM398" s="120">
        <f t="shared" si="524"/>
        <v>0</v>
      </c>
      <c r="BN398" s="120">
        <f t="shared" si="524"/>
        <v>0</v>
      </c>
      <c r="BO398" s="120">
        <f t="shared" si="524"/>
        <v>579601</v>
      </c>
      <c r="BP398" s="120">
        <f t="shared" si="524"/>
        <v>361772</v>
      </c>
      <c r="BQ398" s="120">
        <f>BQ400+BQ406+BQ410+BQ445+BQ456</f>
        <v>-1236</v>
      </c>
      <c r="BR398" s="120"/>
      <c r="BS398" s="120">
        <f aca="true" t="shared" si="525" ref="BS398:BX398">BS400+BS406+BS410+BS445+BS456</f>
        <v>-17657</v>
      </c>
      <c r="BT398" s="120">
        <f t="shared" si="525"/>
        <v>64752</v>
      </c>
      <c r="BU398" s="120">
        <f t="shared" si="525"/>
        <v>625460</v>
      </c>
      <c r="BV398" s="120">
        <f t="shared" si="525"/>
        <v>426524</v>
      </c>
      <c r="BW398" s="120">
        <f t="shared" si="525"/>
        <v>521818</v>
      </c>
      <c r="BX398" s="120">
        <f t="shared" si="525"/>
        <v>339460</v>
      </c>
      <c r="BY398" s="60">
        <f>BW398/BU398*100</f>
        <v>83.42947590573338</v>
      </c>
      <c r="BZ398" s="60">
        <f>BX398/BV398*100</f>
        <v>79.58754958689312</v>
      </c>
    </row>
    <row r="399" spans="1:78" s="10" customFormat="1" ht="13.5" customHeight="1">
      <c r="A399" s="55"/>
      <c r="B399" s="56"/>
      <c r="C399" s="56"/>
      <c r="D399" s="57"/>
      <c r="E399" s="56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77"/>
      <c r="AU399" s="177"/>
      <c r="AV399" s="177"/>
      <c r="AW399" s="177"/>
      <c r="AX399" s="177"/>
      <c r="AY399" s="157"/>
      <c r="AZ399" s="157"/>
      <c r="BA399" s="157"/>
      <c r="BB399" s="157"/>
      <c r="BC399" s="157"/>
      <c r="BD399" s="157"/>
      <c r="BE399" s="157"/>
      <c r="BF399" s="157"/>
      <c r="BG399" s="157"/>
      <c r="BH399" s="157"/>
      <c r="BI399" s="157"/>
      <c r="BJ399" s="157"/>
      <c r="BK399" s="157"/>
      <c r="BL399" s="157"/>
      <c r="BM399" s="157"/>
      <c r="BN399" s="157"/>
      <c r="BO399" s="157"/>
      <c r="BP399" s="157"/>
      <c r="BQ399" s="157"/>
      <c r="BR399" s="157"/>
      <c r="BS399" s="157"/>
      <c r="BT399" s="157"/>
      <c r="BU399" s="157"/>
      <c r="BV399" s="157"/>
      <c r="BW399" s="157"/>
      <c r="BX399" s="157"/>
      <c r="BY399" s="60"/>
      <c r="BZ399" s="60"/>
    </row>
    <row r="400" spans="1:78" s="10" customFormat="1" ht="20.25">
      <c r="A400" s="66" t="s">
        <v>174</v>
      </c>
      <c r="B400" s="67" t="s">
        <v>3</v>
      </c>
      <c r="C400" s="67" t="s">
        <v>127</v>
      </c>
      <c r="D400" s="178"/>
      <c r="E400" s="179"/>
      <c r="F400" s="180">
        <f aca="true" t="shared" si="526" ref="F400:U401">F401</f>
        <v>14739</v>
      </c>
      <c r="G400" s="180">
        <f t="shared" si="526"/>
        <v>10366</v>
      </c>
      <c r="H400" s="180">
        <f t="shared" si="526"/>
        <v>25105</v>
      </c>
      <c r="I400" s="180">
        <f t="shared" si="526"/>
        <v>0</v>
      </c>
      <c r="J400" s="180">
        <f t="shared" si="526"/>
        <v>0</v>
      </c>
      <c r="K400" s="180">
        <f t="shared" si="526"/>
        <v>0</v>
      </c>
      <c r="L400" s="180">
        <f t="shared" si="526"/>
        <v>0</v>
      </c>
      <c r="M400" s="180">
        <f t="shared" si="526"/>
        <v>25105</v>
      </c>
      <c r="N400" s="180">
        <f t="shared" si="526"/>
        <v>0</v>
      </c>
      <c r="O400" s="180">
        <f>O401+O403</f>
        <v>0</v>
      </c>
      <c r="P400" s="180"/>
      <c r="Q400" s="180">
        <f>Q401+Q403</f>
        <v>0</v>
      </c>
      <c r="R400" s="180">
        <f>R401+R403</f>
        <v>0</v>
      </c>
      <c r="S400" s="180">
        <f>S401+S403</f>
        <v>25105</v>
      </c>
      <c r="T400" s="180">
        <f>T401+T403</f>
        <v>0</v>
      </c>
      <c r="U400" s="180">
        <f aca="true" t="shared" si="527" ref="U400:AJ400">U401+U403</f>
        <v>0</v>
      </c>
      <c r="V400" s="180">
        <f t="shared" si="527"/>
        <v>0</v>
      </c>
      <c r="W400" s="180">
        <f t="shared" si="527"/>
        <v>0</v>
      </c>
      <c r="X400" s="180">
        <f t="shared" si="527"/>
        <v>0</v>
      </c>
      <c r="Y400" s="180">
        <f t="shared" si="527"/>
        <v>0</v>
      </c>
      <c r="Z400" s="180">
        <f t="shared" si="527"/>
        <v>0</v>
      </c>
      <c r="AA400" s="180">
        <f t="shared" si="527"/>
        <v>0</v>
      </c>
      <c r="AB400" s="180">
        <f t="shared" si="527"/>
        <v>25105</v>
      </c>
      <c r="AC400" s="180">
        <f t="shared" si="527"/>
        <v>0</v>
      </c>
      <c r="AD400" s="180">
        <f t="shared" si="527"/>
        <v>0</v>
      </c>
      <c r="AE400" s="180">
        <f t="shared" si="527"/>
        <v>0</v>
      </c>
      <c r="AF400" s="180">
        <f t="shared" si="527"/>
        <v>0</v>
      </c>
      <c r="AG400" s="180">
        <f t="shared" si="527"/>
        <v>0</v>
      </c>
      <c r="AH400" s="180">
        <f t="shared" si="527"/>
        <v>0</v>
      </c>
      <c r="AI400" s="180">
        <f t="shared" si="527"/>
        <v>25105</v>
      </c>
      <c r="AJ400" s="180">
        <f t="shared" si="527"/>
        <v>0</v>
      </c>
      <c r="AK400" s="180">
        <f aca="true" t="shared" si="528" ref="AK400:AS400">AK401+AK403</f>
        <v>0</v>
      </c>
      <c r="AL400" s="180">
        <f t="shared" si="528"/>
        <v>25105</v>
      </c>
      <c r="AM400" s="180">
        <f t="shared" si="528"/>
        <v>0</v>
      </c>
      <c r="AN400" s="180">
        <f t="shared" si="528"/>
        <v>0</v>
      </c>
      <c r="AO400" s="180">
        <f>AO401+AO403</f>
        <v>0</v>
      </c>
      <c r="AP400" s="180">
        <f t="shared" si="528"/>
        <v>0</v>
      </c>
      <c r="AQ400" s="180">
        <f t="shared" si="528"/>
        <v>0</v>
      </c>
      <c r="AR400" s="180">
        <f t="shared" si="528"/>
        <v>25105</v>
      </c>
      <c r="AS400" s="180">
        <f t="shared" si="528"/>
        <v>0</v>
      </c>
      <c r="AT400" s="181">
        <f aca="true" t="shared" si="529" ref="AT400:BE400">AT401+AT403</f>
        <v>0</v>
      </c>
      <c r="AU400" s="181">
        <f t="shared" si="529"/>
        <v>0</v>
      </c>
      <c r="AV400" s="181">
        <f t="shared" si="529"/>
        <v>0</v>
      </c>
      <c r="AW400" s="181">
        <f t="shared" si="529"/>
        <v>25105</v>
      </c>
      <c r="AX400" s="181">
        <f t="shared" si="529"/>
        <v>0</v>
      </c>
      <c r="AY400" s="180">
        <f t="shared" si="529"/>
        <v>-5756</v>
      </c>
      <c r="AZ400" s="180">
        <f>AZ401+AZ403</f>
        <v>0</v>
      </c>
      <c r="BA400" s="180">
        <f>BA401+BA403</f>
        <v>0</v>
      </c>
      <c r="BB400" s="180">
        <f>BB401+BB403</f>
        <v>0</v>
      </c>
      <c r="BC400" s="180">
        <f t="shared" si="529"/>
        <v>0</v>
      </c>
      <c r="BD400" s="180">
        <f t="shared" si="529"/>
        <v>19349</v>
      </c>
      <c r="BE400" s="180">
        <f t="shared" si="529"/>
        <v>0</v>
      </c>
      <c r="BF400" s="180">
        <f>BF401+BF403</f>
        <v>0</v>
      </c>
      <c r="BG400" s="180">
        <f>BG401+BG403</f>
        <v>0</v>
      </c>
      <c r="BH400" s="180">
        <f>BH401+BH403</f>
        <v>0</v>
      </c>
      <c r="BI400" s="180">
        <f>BI401+BI403</f>
        <v>19349</v>
      </c>
      <c r="BJ400" s="180">
        <f>BJ401+BJ403</f>
        <v>0</v>
      </c>
      <c r="BK400" s="180">
        <f aca="true" t="shared" si="530" ref="BK400:BP400">BK401+BK403</f>
        <v>0</v>
      </c>
      <c r="BL400" s="180">
        <f t="shared" si="530"/>
        <v>0</v>
      </c>
      <c r="BM400" s="180">
        <f t="shared" si="530"/>
        <v>0</v>
      </c>
      <c r="BN400" s="180">
        <f t="shared" si="530"/>
        <v>0</v>
      </c>
      <c r="BO400" s="180">
        <f t="shared" si="530"/>
        <v>19349</v>
      </c>
      <c r="BP400" s="180">
        <f t="shared" si="530"/>
        <v>0</v>
      </c>
      <c r="BQ400" s="180">
        <f>BQ401+BQ403</f>
        <v>0</v>
      </c>
      <c r="BR400" s="180"/>
      <c r="BS400" s="180">
        <f aca="true" t="shared" si="531" ref="BS400:BX400">BS401+BS403</f>
        <v>-2738</v>
      </c>
      <c r="BT400" s="180">
        <f t="shared" si="531"/>
        <v>0</v>
      </c>
      <c r="BU400" s="180">
        <f t="shared" si="531"/>
        <v>16611</v>
      </c>
      <c r="BV400" s="180">
        <f t="shared" si="531"/>
        <v>0</v>
      </c>
      <c r="BW400" s="180">
        <f t="shared" si="531"/>
        <v>16576</v>
      </c>
      <c r="BX400" s="180">
        <f t="shared" si="531"/>
        <v>0</v>
      </c>
      <c r="BY400" s="71">
        <f>BW400/BU400*100</f>
        <v>99.78929624947324</v>
      </c>
      <c r="BZ400" s="72"/>
    </row>
    <row r="401" spans="1:78" s="10" customFormat="1" ht="45.75" customHeight="1" hidden="1">
      <c r="A401" s="88" t="s">
        <v>175</v>
      </c>
      <c r="B401" s="89" t="s">
        <v>3</v>
      </c>
      <c r="C401" s="89" t="s">
        <v>127</v>
      </c>
      <c r="D401" s="144" t="s">
        <v>199</v>
      </c>
      <c r="E401" s="179"/>
      <c r="F401" s="99">
        <f t="shared" si="526"/>
        <v>14739</v>
      </c>
      <c r="G401" s="99">
        <f t="shared" si="526"/>
        <v>10366</v>
      </c>
      <c r="H401" s="99">
        <f t="shared" si="526"/>
        <v>25105</v>
      </c>
      <c r="I401" s="99">
        <f t="shared" si="526"/>
        <v>0</v>
      </c>
      <c r="J401" s="99">
        <f t="shared" si="526"/>
        <v>0</v>
      </c>
      <c r="K401" s="99">
        <f t="shared" si="526"/>
        <v>0</v>
      </c>
      <c r="L401" s="99">
        <f t="shared" si="526"/>
        <v>0</v>
      </c>
      <c r="M401" s="99">
        <f t="shared" si="526"/>
        <v>25105</v>
      </c>
      <c r="N401" s="99">
        <f t="shared" si="526"/>
        <v>0</v>
      </c>
      <c r="O401" s="99">
        <f t="shared" si="526"/>
        <v>0</v>
      </c>
      <c r="P401" s="99"/>
      <c r="Q401" s="99">
        <f t="shared" si="526"/>
        <v>0</v>
      </c>
      <c r="R401" s="99">
        <f t="shared" si="526"/>
        <v>0</v>
      </c>
      <c r="S401" s="99">
        <f t="shared" si="526"/>
        <v>25105</v>
      </c>
      <c r="T401" s="99">
        <f t="shared" si="526"/>
        <v>0</v>
      </c>
      <c r="U401" s="99">
        <f t="shared" si="526"/>
        <v>0</v>
      </c>
      <c r="V401" s="99">
        <f aca="true" t="shared" si="532" ref="V401:AC401">V402</f>
        <v>0</v>
      </c>
      <c r="W401" s="99">
        <f t="shared" si="532"/>
        <v>-25105</v>
      </c>
      <c r="X401" s="99">
        <f t="shared" si="532"/>
        <v>0</v>
      </c>
      <c r="Y401" s="99">
        <f t="shared" si="532"/>
        <v>0</v>
      </c>
      <c r="Z401" s="99">
        <f t="shared" si="532"/>
        <v>0</v>
      </c>
      <c r="AA401" s="99">
        <f t="shared" si="532"/>
        <v>0</v>
      </c>
      <c r="AB401" s="99">
        <f t="shared" si="532"/>
        <v>0</v>
      </c>
      <c r="AC401" s="99">
        <f t="shared" si="532"/>
        <v>0</v>
      </c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157"/>
      <c r="AT401" s="177"/>
      <c r="AU401" s="177"/>
      <c r="AV401" s="177"/>
      <c r="AW401" s="177"/>
      <c r="AX401" s="177"/>
      <c r="AY401" s="157"/>
      <c r="AZ401" s="157"/>
      <c r="BA401" s="157"/>
      <c r="BB401" s="157"/>
      <c r="BC401" s="157"/>
      <c r="BD401" s="157"/>
      <c r="BE401" s="157"/>
      <c r="BF401" s="157"/>
      <c r="BG401" s="157"/>
      <c r="BH401" s="157"/>
      <c r="BI401" s="157"/>
      <c r="BJ401" s="157"/>
      <c r="BK401" s="157"/>
      <c r="BL401" s="157"/>
      <c r="BM401" s="157"/>
      <c r="BN401" s="157"/>
      <c r="BO401" s="157"/>
      <c r="BP401" s="157"/>
      <c r="BQ401" s="157"/>
      <c r="BR401" s="157"/>
      <c r="BS401" s="157"/>
      <c r="BT401" s="157"/>
      <c r="BU401" s="157"/>
      <c r="BV401" s="157"/>
      <c r="BW401" s="157"/>
      <c r="BX401" s="157"/>
      <c r="BY401" s="72" t="e">
        <f>BW401/BU401*100</f>
        <v>#DIV/0!</v>
      </c>
      <c r="BZ401" s="72"/>
    </row>
    <row r="402" spans="1:78" s="10" customFormat="1" ht="20.25" customHeight="1" hidden="1">
      <c r="A402" s="88" t="s">
        <v>11</v>
      </c>
      <c r="B402" s="89" t="s">
        <v>3</v>
      </c>
      <c r="C402" s="89" t="s">
        <v>127</v>
      </c>
      <c r="D402" s="144" t="s">
        <v>199</v>
      </c>
      <c r="E402" s="89" t="s">
        <v>18</v>
      </c>
      <c r="F402" s="99">
        <v>14739</v>
      </c>
      <c r="G402" s="75">
        <f>H402-F402</f>
        <v>10366</v>
      </c>
      <c r="H402" s="100">
        <v>25105</v>
      </c>
      <c r="I402" s="165"/>
      <c r="J402" s="165"/>
      <c r="K402" s="165"/>
      <c r="L402" s="165"/>
      <c r="M402" s="75">
        <f>H402+J402+K402+L402</f>
        <v>25105</v>
      </c>
      <c r="N402" s="78">
        <f>I402+L402</f>
        <v>0</v>
      </c>
      <c r="O402" s="100"/>
      <c r="P402" s="100"/>
      <c r="Q402" s="156"/>
      <c r="R402" s="156"/>
      <c r="S402" s="75">
        <f>M402+O402+P402+Q402+R402</f>
        <v>25105</v>
      </c>
      <c r="T402" s="75">
        <f>N402+R402</f>
        <v>0</v>
      </c>
      <c r="U402" s="156"/>
      <c r="V402" s="156"/>
      <c r="W402" s="75">
        <v>-25105</v>
      </c>
      <c r="X402" s="156"/>
      <c r="Y402" s="156"/>
      <c r="Z402" s="156"/>
      <c r="AA402" s="156"/>
      <c r="AB402" s="75">
        <f>S402+U402+V402+W402+X402+Y402+Z402+AA402</f>
        <v>0</v>
      </c>
      <c r="AC402" s="75">
        <f>T402+Z402+AA402</f>
        <v>0</v>
      </c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77"/>
      <c r="AU402" s="177"/>
      <c r="AV402" s="177"/>
      <c r="AW402" s="177"/>
      <c r="AX402" s="177"/>
      <c r="AY402" s="157"/>
      <c r="AZ402" s="157"/>
      <c r="BA402" s="157"/>
      <c r="BB402" s="157"/>
      <c r="BC402" s="157"/>
      <c r="BD402" s="157"/>
      <c r="BE402" s="157"/>
      <c r="BF402" s="157"/>
      <c r="BG402" s="157"/>
      <c r="BH402" s="157"/>
      <c r="BI402" s="157"/>
      <c r="BJ402" s="157"/>
      <c r="BK402" s="157"/>
      <c r="BL402" s="157"/>
      <c r="BM402" s="157"/>
      <c r="BN402" s="157"/>
      <c r="BO402" s="157"/>
      <c r="BP402" s="157"/>
      <c r="BQ402" s="157"/>
      <c r="BR402" s="157"/>
      <c r="BS402" s="157"/>
      <c r="BT402" s="157"/>
      <c r="BU402" s="157"/>
      <c r="BV402" s="157"/>
      <c r="BW402" s="157"/>
      <c r="BX402" s="157"/>
      <c r="BY402" s="72" t="e">
        <f>BW402/BU402*100</f>
        <v>#DIV/0!</v>
      </c>
      <c r="BZ402" s="72"/>
    </row>
    <row r="403" spans="1:78" s="10" customFormat="1" ht="38.25" customHeight="1" hidden="1">
      <c r="A403" s="88" t="s">
        <v>175</v>
      </c>
      <c r="B403" s="89" t="s">
        <v>3</v>
      </c>
      <c r="C403" s="89" t="s">
        <v>127</v>
      </c>
      <c r="D403" s="144" t="s">
        <v>287</v>
      </c>
      <c r="E403" s="89"/>
      <c r="F403" s="99"/>
      <c r="G403" s="75"/>
      <c r="H403" s="100"/>
      <c r="I403" s="165"/>
      <c r="J403" s="165"/>
      <c r="K403" s="165"/>
      <c r="L403" s="165"/>
      <c r="M403" s="75"/>
      <c r="N403" s="78"/>
      <c r="O403" s="100">
        <f>O404</f>
        <v>0</v>
      </c>
      <c r="P403" s="100"/>
      <c r="Q403" s="100">
        <f aca="true" t="shared" si="533" ref="Q403:AB403">Q404</f>
        <v>0</v>
      </c>
      <c r="R403" s="100">
        <f t="shared" si="533"/>
        <v>0</v>
      </c>
      <c r="S403" s="100">
        <f t="shared" si="533"/>
        <v>0</v>
      </c>
      <c r="T403" s="100">
        <f t="shared" si="533"/>
        <v>0</v>
      </c>
      <c r="U403" s="156">
        <f t="shared" si="533"/>
        <v>0</v>
      </c>
      <c r="V403" s="156">
        <f t="shared" si="533"/>
        <v>0</v>
      </c>
      <c r="W403" s="75">
        <f t="shared" si="533"/>
        <v>25105</v>
      </c>
      <c r="X403" s="156">
        <f t="shared" si="533"/>
        <v>0</v>
      </c>
      <c r="Y403" s="156">
        <f t="shared" si="533"/>
        <v>0</v>
      </c>
      <c r="Z403" s="156">
        <f t="shared" si="533"/>
        <v>0</v>
      </c>
      <c r="AA403" s="156">
        <f t="shared" si="533"/>
        <v>0</v>
      </c>
      <c r="AB403" s="75">
        <f t="shared" si="533"/>
        <v>25105</v>
      </c>
      <c r="AC403" s="75">
        <f aca="true" t="shared" si="534" ref="AC403:BX403">AC404</f>
        <v>0</v>
      </c>
      <c r="AD403" s="157">
        <f t="shared" si="534"/>
        <v>0</v>
      </c>
      <c r="AE403" s="157">
        <f t="shared" si="534"/>
        <v>0</v>
      </c>
      <c r="AF403" s="157">
        <f t="shared" si="534"/>
        <v>0</v>
      </c>
      <c r="AG403" s="157">
        <f t="shared" si="534"/>
        <v>0</v>
      </c>
      <c r="AH403" s="157">
        <f t="shared" si="534"/>
        <v>0</v>
      </c>
      <c r="AI403" s="75">
        <f t="shared" si="534"/>
        <v>25105</v>
      </c>
      <c r="AJ403" s="75">
        <f t="shared" si="534"/>
        <v>0</v>
      </c>
      <c r="AK403" s="75">
        <f t="shared" si="534"/>
        <v>0</v>
      </c>
      <c r="AL403" s="75">
        <f t="shared" si="534"/>
        <v>25105</v>
      </c>
      <c r="AM403" s="75">
        <f t="shared" si="534"/>
        <v>0</v>
      </c>
      <c r="AN403" s="75">
        <f t="shared" si="534"/>
        <v>0</v>
      </c>
      <c r="AO403" s="75">
        <f t="shared" si="534"/>
        <v>0</v>
      </c>
      <c r="AP403" s="75">
        <f t="shared" si="534"/>
        <v>0</v>
      </c>
      <c r="AQ403" s="75">
        <f t="shared" si="534"/>
        <v>0</v>
      </c>
      <c r="AR403" s="75">
        <f t="shared" si="534"/>
        <v>25105</v>
      </c>
      <c r="AS403" s="75">
        <f t="shared" si="534"/>
        <v>0</v>
      </c>
      <c r="AT403" s="76">
        <f t="shared" si="534"/>
        <v>0</v>
      </c>
      <c r="AU403" s="76">
        <f t="shared" si="534"/>
        <v>0</v>
      </c>
      <c r="AV403" s="76">
        <f t="shared" si="534"/>
        <v>0</v>
      </c>
      <c r="AW403" s="76">
        <f t="shared" si="534"/>
        <v>25105</v>
      </c>
      <c r="AX403" s="76">
        <f t="shared" si="534"/>
        <v>0</v>
      </c>
      <c r="AY403" s="75">
        <f t="shared" si="534"/>
        <v>-5756</v>
      </c>
      <c r="AZ403" s="75">
        <f t="shared" si="534"/>
        <v>0</v>
      </c>
      <c r="BA403" s="75">
        <f t="shared" si="534"/>
        <v>0</v>
      </c>
      <c r="BB403" s="75">
        <f t="shared" si="534"/>
        <v>0</v>
      </c>
      <c r="BC403" s="75">
        <f t="shared" si="534"/>
        <v>0</v>
      </c>
      <c r="BD403" s="75">
        <f t="shared" si="534"/>
        <v>19349</v>
      </c>
      <c r="BE403" s="75">
        <f t="shared" si="534"/>
        <v>0</v>
      </c>
      <c r="BF403" s="75">
        <f t="shared" si="534"/>
        <v>0</v>
      </c>
      <c r="BG403" s="75">
        <f t="shared" si="534"/>
        <v>0</v>
      </c>
      <c r="BH403" s="75">
        <f t="shared" si="534"/>
        <v>0</v>
      </c>
      <c r="BI403" s="75">
        <f t="shared" si="534"/>
        <v>19349</v>
      </c>
      <c r="BJ403" s="75">
        <f t="shared" si="534"/>
        <v>0</v>
      </c>
      <c r="BK403" s="75">
        <f t="shared" si="534"/>
        <v>0</v>
      </c>
      <c r="BL403" s="75">
        <f t="shared" si="534"/>
        <v>0</v>
      </c>
      <c r="BM403" s="75">
        <f t="shared" si="534"/>
        <v>0</v>
      </c>
      <c r="BN403" s="75">
        <f t="shared" si="534"/>
        <v>0</v>
      </c>
      <c r="BO403" s="75">
        <f t="shared" si="534"/>
        <v>19349</v>
      </c>
      <c r="BP403" s="75">
        <f t="shared" si="534"/>
        <v>0</v>
      </c>
      <c r="BQ403" s="75">
        <f t="shared" si="534"/>
        <v>0</v>
      </c>
      <c r="BR403" s="75"/>
      <c r="BS403" s="75">
        <f t="shared" si="534"/>
        <v>-2738</v>
      </c>
      <c r="BT403" s="75">
        <f t="shared" si="534"/>
        <v>0</v>
      </c>
      <c r="BU403" s="75">
        <f t="shared" si="534"/>
        <v>16611</v>
      </c>
      <c r="BV403" s="75">
        <f t="shared" si="534"/>
        <v>0</v>
      </c>
      <c r="BW403" s="75">
        <f t="shared" si="534"/>
        <v>16576</v>
      </c>
      <c r="BX403" s="75">
        <f t="shared" si="534"/>
        <v>0</v>
      </c>
      <c r="BY403" s="77">
        <f>BW403/BU403*100</f>
        <v>99.78929624947324</v>
      </c>
      <c r="BZ403" s="72"/>
    </row>
    <row r="404" spans="1:78" s="10" customFormat="1" ht="17.25" customHeight="1" hidden="1">
      <c r="A404" s="88" t="s">
        <v>11</v>
      </c>
      <c r="B404" s="89" t="s">
        <v>3</v>
      </c>
      <c r="C404" s="89" t="s">
        <v>127</v>
      </c>
      <c r="D404" s="144" t="s">
        <v>287</v>
      </c>
      <c r="E404" s="89" t="s">
        <v>18</v>
      </c>
      <c r="F404" s="99"/>
      <c r="G404" s="75"/>
      <c r="H404" s="100"/>
      <c r="I404" s="165"/>
      <c r="J404" s="165"/>
      <c r="K404" s="165"/>
      <c r="L404" s="165"/>
      <c r="M404" s="75"/>
      <c r="N404" s="78"/>
      <c r="O404" s="100"/>
      <c r="P404" s="100"/>
      <c r="Q404" s="156"/>
      <c r="R404" s="156"/>
      <c r="S404" s="75">
        <f>M404+O404+P404+Q404+R404</f>
        <v>0</v>
      </c>
      <c r="T404" s="75">
        <f>N404+R404</f>
        <v>0</v>
      </c>
      <c r="U404" s="156"/>
      <c r="V404" s="156"/>
      <c r="W404" s="75">
        <f>25105</f>
        <v>25105</v>
      </c>
      <c r="X404" s="156"/>
      <c r="Y404" s="156"/>
      <c r="Z404" s="156"/>
      <c r="AA404" s="156"/>
      <c r="AB404" s="75">
        <f>S404+U404+V404+W404+X404+Y404+Z404+AA404</f>
        <v>25105</v>
      </c>
      <c r="AC404" s="75">
        <f>T404+Z404+AA404</f>
        <v>0</v>
      </c>
      <c r="AD404" s="157"/>
      <c r="AE404" s="157"/>
      <c r="AF404" s="157"/>
      <c r="AG404" s="157"/>
      <c r="AH404" s="157"/>
      <c r="AI404" s="75">
        <f>AB404+AD404+AE404+AF404+AG404+AH404</f>
        <v>25105</v>
      </c>
      <c r="AJ404" s="75">
        <f>AC404+AH404</f>
        <v>0</v>
      </c>
      <c r="AK404" s="156"/>
      <c r="AL404" s="75">
        <f>AI404+AK404</f>
        <v>25105</v>
      </c>
      <c r="AM404" s="75">
        <f>AJ404</f>
        <v>0</v>
      </c>
      <c r="AN404" s="156"/>
      <c r="AO404" s="156"/>
      <c r="AP404" s="156"/>
      <c r="AQ404" s="156"/>
      <c r="AR404" s="75">
        <f>AL404+AN404+AO404+AP404+AQ404</f>
        <v>25105</v>
      </c>
      <c r="AS404" s="75">
        <f>AM404+AQ404</f>
        <v>0</v>
      </c>
      <c r="AT404" s="159"/>
      <c r="AU404" s="81"/>
      <c r="AV404" s="81"/>
      <c r="AW404" s="76">
        <f>AV404+AU404+AT404+AR404</f>
        <v>25105</v>
      </c>
      <c r="AX404" s="76">
        <f>AV404+AS404</f>
        <v>0</v>
      </c>
      <c r="AY404" s="75">
        <v>-5756</v>
      </c>
      <c r="AZ404" s="157"/>
      <c r="BA404" s="157"/>
      <c r="BB404" s="157"/>
      <c r="BC404" s="157"/>
      <c r="BD404" s="75">
        <f>AW404+AY404+AZ404+BA404+BB404+BC404</f>
        <v>19349</v>
      </c>
      <c r="BE404" s="75">
        <f>AX404+BC404</f>
        <v>0</v>
      </c>
      <c r="BF404" s="156"/>
      <c r="BG404" s="156"/>
      <c r="BH404" s="156"/>
      <c r="BI404" s="75">
        <f>BD404+BF404+BG404+BH404</f>
        <v>19349</v>
      </c>
      <c r="BJ404" s="75">
        <f>BE404+BH404</f>
        <v>0</v>
      </c>
      <c r="BK404" s="158"/>
      <c r="BL404" s="158"/>
      <c r="BM404" s="158"/>
      <c r="BN404" s="158"/>
      <c r="BO404" s="75">
        <f>BI404+BK404+BL404+BM404+BN404</f>
        <v>19349</v>
      </c>
      <c r="BP404" s="75">
        <f>BJ404+BN404</f>
        <v>0</v>
      </c>
      <c r="BQ404" s="75"/>
      <c r="BR404" s="75"/>
      <c r="BS404" s="75">
        <f>-2600-491+353</f>
        <v>-2738</v>
      </c>
      <c r="BT404" s="156"/>
      <c r="BU404" s="75">
        <f>BO404+BQ404+BS404+BT404</f>
        <v>16611</v>
      </c>
      <c r="BV404" s="75">
        <f>BP404+BT404</f>
        <v>0</v>
      </c>
      <c r="BW404" s="75">
        <v>16576</v>
      </c>
      <c r="BX404" s="75">
        <f>BR404+BV404</f>
        <v>0</v>
      </c>
      <c r="BY404" s="77">
        <f>BW404/BU404*100</f>
        <v>99.78929624947324</v>
      </c>
      <c r="BZ404" s="72"/>
    </row>
    <row r="405" spans="1:78" s="14" customFormat="1" ht="13.5" customHeight="1">
      <c r="A405" s="88"/>
      <c r="B405" s="89"/>
      <c r="C405" s="89"/>
      <c r="D405" s="144"/>
      <c r="E405" s="89"/>
      <c r="F405" s="75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9"/>
      <c r="R405" s="79"/>
      <c r="S405" s="75"/>
      <c r="T405" s="75"/>
      <c r="U405" s="79"/>
      <c r="V405" s="79"/>
      <c r="W405" s="79"/>
      <c r="X405" s="79"/>
      <c r="Y405" s="79"/>
      <c r="Z405" s="79"/>
      <c r="AA405" s="79"/>
      <c r="AB405" s="79"/>
      <c r="AC405" s="79"/>
      <c r="AD405" s="75"/>
      <c r="AE405" s="75"/>
      <c r="AF405" s="75"/>
      <c r="AG405" s="75"/>
      <c r="AH405" s="75"/>
      <c r="AI405" s="75"/>
      <c r="AJ405" s="75"/>
      <c r="AK405" s="79"/>
      <c r="AL405" s="79"/>
      <c r="AM405" s="79"/>
      <c r="AN405" s="79"/>
      <c r="AO405" s="79"/>
      <c r="AP405" s="79"/>
      <c r="AQ405" s="79"/>
      <c r="AR405" s="79"/>
      <c r="AS405" s="79"/>
      <c r="AT405" s="81"/>
      <c r="AU405" s="81"/>
      <c r="AV405" s="81"/>
      <c r="AW405" s="81"/>
      <c r="AX405" s="81"/>
      <c r="AY405" s="75"/>
      <c r="AZ405" s="75"/>
      <c r="BA405" s="75"/>
      <c r="BB405" s="75"/>
      <c r="BC405" s="75"/>
      <c r="BD405" s="78"/>
      <c r="BE405" s="78"/>
      <c r="BF405" s="79"/>
      <c r="BG405" s="79"/>
      <c r="BH405" s="79"/>
      <c r="BI405" s="79"/>
      <c r="BJ405" s="79"/>
      <c r="BK405" s="78"/>
      <c r="BL405" s="78"/>
      <c r="BM405" s="78"/>
      <c r="BN405" s="78"/>
      <c r="BO405" s="78"/>
      <c r="BP405" s="78"/>
      <c r="BQ405" s="79"/>
      <c r="BR405" s="79"/>
      <c r="BS405" s="79"/>
      <c r="BT405" s="79"/>
      <c r="BU405" s="79"/>
      <c r="BV405" s="79"/>
      <c r="BW405" s="79"/>
      <c r="BX405" s="79"/>
      <c r="BY405" s="72"/>
      <c r="BZ405" s="72"/>
    </row>
    <row r="406" spans="1:78" s="14" customFormat="1" ht="23.25" customHeight="1">
      <c r="A406" s="66" t="s">
        <v>114</v>
      </c>
      <c r="B406" s="67" t="s">
        <v>3</v>
      </c>
      <c r="C406" s="67" t="s">
        <v>128</v>
      </c>
      <c r="D406" s="85"/>
      <c r="E406" s="67"/>
      <c r="F406" s="86">
        <f aca="true" t="shared" si="535" ref="F406:U407">F407</f>
        <v>68151</v>
      </c>
      <c r="G406" s="86">
        <f t="shared" si="535"/>
        <v>88532</v>
      </c>
      <c r="H406" s="86">
        <f t="shared" si="535"/>
        <v>156683</v>
      </c>
      <c r="I406" s="86">
        <f t="shared" si="535"/>
        <v>80803</v>
      </c>
      <c r="J406" s="86">
        <f t="shared" si="535"/>
        <v>0</v>
      </c>
      <c r="K406" s="86">
        <f t="shared" si="535"/>
        <v>0</v>
      </c>
      <c r="L406" s="86">
        <f t="shared" si="535"/>
        <v>0</v>
      </c>
      <c r="M406" s="86">
        <f t="shared" si="535"/>
        <v>156683</v>
      </c>
      <c r="N406" s="86">
        <f t="shared" si="535"/>
        <v>80803</v>
      </c>
      <c r="O406" s="86">
        <f t="shared" si="535"/>
        <v>0</v>
      </c>
      <c r="P406" s="86">
        <f t="shared" si="535"/>
        <v>0</v>
      </c>
      <c r="Q406" s="86">
        <f t="shared" si="535"/>
        <v>0</v>
      </c>
      <c r="R406" s="86">
        <f t="shared" si="535"/>
        <v>0</v>
      </c>
      <c r="S406" s="86">
        <f t="shared" si="535"/>
        <v>156683</v>
      </c>
      <c r="T406" s="86">
        <f t="shared" si="535"/>
        <v>80803</v>
      </c>
      <c r="U406" s="86">
        <f t="shared" si="535"/>
        <v>0</v>
      </c>
      <c r="V406" s="86">
        <f aca="true" t="shared" si="536" ref="U406:AK407">V407</f>
        <v>0</v>
      </c>
      <c r="W406" s="86">
        <f t="shared" si="536"/>
        <v>0</v>
      </c>
      <c r="X406" s="86">
        <f t="shared" si="536"/>
        <v>0</v>
      </c>
      <c r="Y406" s="86">
        <f t="shared" si="536"/>
        <v>600</v>
      </c>
      <c r="Z406" s="86">
        <f t="shared" si="536"/>
        <v>0</v>
      </c>
      <c r="AA406" s="86">
        <f t="shared" si="536"/>
        <v>0</v>
      </c>
      <c r="AB406" s="86">
        <f t="shared" si="536"/>
        <v>157283</v>
      </c>
      <c r="AC406" s="86">
        <f t="shared" si="536"/>
        <v>80803</v>
      </c>
      <c r="AD406" s="86">
        <f t="shared" si="536"/>
        <v>2</v>
      </c>
      <c r="AE406" s="86">
        <f t="shared" si="536"/>
        <v>207</v>
      </c>
      <c r="AF406" s="86">
        <f t="shared" si="536"/>
        <v>-3324</v>
      </c>
      <c r="AG406" s="86">
        <f t="shared" si="536"/>
        <v>0</v>
      </c>
      <c r="AH406" s="86">
        <f t="shared" si="536"/>
        <v>0</v>
      </c>
      <c r="AI406" s="86">
        <f t="shared" si="536"/>
        <v>154168</v>
      </c>
      <c r="AJ406" s="86">
        <f t="shared" si="536"/>
        <v>80803</v>
      </c>
      <c r="AK406" s="86">
        <f t="shared" si="536"/>
        <v>0</v>
      </c>
      <c r="AL406" s="86">
        <f aca="true" t="shared" si="537" ref="AK406:AZ407">AL407</f>
        <v>154168</v>
      </c>
      <c r="AM406" s="86">
        <f t="shared" si="537"/>
        <v>80803</v>
      </c>
      <c r="AN406" s="86">
        <f t="shared" si="537"/>
        <v>0</v>
      </c>
      <c r="AO406" s="86">
        <f t="shared" si="537"/>
        <v>183</v>
      </c>
      <c r="AP406" s="86">
        <f t="shared" si="537"/>
        <v>1</v>
      </c>
      <c r="AQ406" s="86">
        <f t="shared" si="537"/>
        <v>-713</v>
      </c>
      <c r="AR406" s="86">
        <f t="shared" si="537"/>
        <v>153639</v>
      </c>
      <c r="AS406" s="86">
        <f t="shared" si="537"/>
        <v>80090</v>
      </c>
      <c r="AT406" s="87">
        <f t="shared" si="537"/>
        <v>0</v>
      </c>
      <c r="AU406" s="87">
        <f t="shared" si="537"/>
        <v>0</v>
      </c>
      <c r="AV406" s="87">
        <f t="shared" si="537"/>
        <v>0</v>
      </c>
      <c r="AW406" s="87">
        <f t="shared" si="537"/>
        <v>153639</v>
      </c>
      <c r="AX406" s="87">
        <f t="shared" si="537"/>
        <v>80090</v>
      </c>
      <c r="AY406" s="86">
        <f t="shared" si="537"/>
        <v>-5199</v>
      </c>
      <c r="AZ406" s="86">
        <f t="shared" si="537"/>
        <v>0</v>
      </c>
      <c r="BA406" s="86">
        <f>BA407</f>
        <v>0</v>
      </c>
      <c r="BB406" s="86">
        <f>BB407</f>
        <v>0</v>
      </c>
      <c r="BC406" s="86">
        <f aca="true" t="shared" si="538" ref="AY406:BN407">BC407</f>
        <v>0</v>
      </c>
      <c r="BD406" s="86">
        <f t="shared" si="538"/>
        <v>148440</v>
      </c>
      <c r="BE406" s="86">
        <f t="shared" si="538"/>
        <v>80090</v>
      </c>
      <c r="BF406" s="86">
        <f t="shared" si="538"/>
        <v>0</v>
      </c>
      <c r="BG406" s="86">
        <f t="shared" si="538"/>
        <v>0</v>
      </c>
      <c r="BH406" s="86">
        <f t="shared" si="538"/>
        <v>0</v>
      </c>
      <c r="BI406" s="86">
        <f t="shared" si="538"/>
        <v>148440</v>
      </c>
      <c r="BJ406" s="86">
        <f t="shared" si="538"/>
        <v>80090</v>
      </c>
      <c r="BK406" s="86">
        <f t="shared" si="538"/>
        <v>0</v>
      </c>
      <c r="BL406" s="86">
        <f t="shared" si="538"/>
        <v>0</v>
      </c>
      <c r="BM406" s="86">
        <f t="shared" si="538"/>
        <v>0</v>
      </c>
      <c r="BN406" s="86">
        <f t="shared" si="538"/>
        <v>0</v>
      </c>
      <c r="BO406" s="86">
        <f aca="true" t="shared" si="539" ref="BK406:BX407">BO407</f>
        <v>148440</v>
      </c>
      <c r="BP406" s="86">
        <f t="shared" si="539"/>
        <v>80090</v>
      </c>
      <c r="BQ406" s="86">
        <f t="shared" si="539"/>
        <v>-1236</v>
      </c>
      <c r="BR406" s="86"/>
      <c r="BS406" s="86">
        <f t="shared" si="539"/>
        <v>-1780</v>
      </c>
      <c r="BT406" s="86">
        <f t="shared" si="539"/>
        <v>0</v>
      </c>
      <c r="BU406" s="86">
        <f t="shared" si="539"/>
        <v>145424</v>
      </c>
      <c r="BV406" s="86">
        <f t="shared" si="539"/>
        <v>80090</v>
      </c>
      <c r="BW406" s="86">
        <f t="shared" si="539"/>
        <v>144156</v>
      </c>
      <c r="BX406" s="86">
        <f t="shared" si="539"/>
        <v>79747</v>
      </c>
      <c r="BY406" s="71">
        <f aca="true" t="shared" si="540" ref="BY406:BZ466">BW406/BU406*100</f>
        <v>99.12806689404775</v>
      </c>
      <c r="BZ406" s="71">
        <f>BX406/BV406*100</f>
        <v>99.57173180172306</v>
      </c>
    </row>
    <row r="407" spans="1:78" ht="36.75" customHeight="1" hidden="1">
      <c r="A407" s="88" t="s">
        <v>301</v>
      </c>
      <c r="B407" s="89" t="s">
        <v>3</v>
      </c>
      <c r="C407" s="89" t="s">
        <v>128</v>
      </c>
      <c r="D407" s="90" t="s">
        <v>7</v>
      </c>
      <c r="E407" s="89"/>
      <c r="F407" s="91">
        <f t="shared" si="535"/>
        <v>68151</v>
      </c>
      <c r="G407" s="91">
        <f t="shared" si="535"/>
        <v>88532</v>
      </c>
      <c r="H407" s="91">
        <f t="shared" si="535"/>
        <v>156683</v>
      </c>
      <c r="I407" s="91">
        <f t="shared" si="535"/>
        <v>80803</v>
      </c>
      <c r="J407" s="91">
        <f t="shared" si="535"/>
        <v>0</v>
      </c>
      <c r="K407" s="91">
        <f t="shared" si="535"/>
        <v>0</v>
      </c>
      <c r="L407" s="91">
        <f t="shared" si="535"/>
        <v>0</v>
      </c>
      <c r="M407" s="91">
        <f t="shared" si="535"/>
        <v>156683</v>
      </c>
      <c r="N407" s="91">
        <f t="shared" si="535"/>
        <v>80803</v>
      </c>
      <c r="O407" s="91">
        <f t="shared" si="535"/>
        <v>0</v>
      </c>
      <c r="P407" s="91">
        <f t="shared" si="535"/>
        <v>0</v>
      </c>
      <c r="Q407" s="91">
        <f t="shared" si="535"/>
        <v>0</v>
      </c>
      <c r="R407" s="91">
        <f t="shared" si="535"/>
        <v>0</v>
      </c>
      <c r="S407" s="91">
        <f t="shared" si="535"/>
        <v>156683</v>
      </c>
      <c r="T407" s="91">
        <f t="shared" si="535"/>
        <v>80803</v>
      </c>
      <c r="U407" s="91">
        <f t="shared" si="536"/>
        <v>0</v>
      </c>
      <c r="V407" s="91">
        <f t="shared" si="536"/>
        <v>0</v>
      </c>
      <c r="W407" s="91">
        <f t="shared" si="536"/>
        <v>0</v>
      </c>
      <c r="X407" s="91">
        <f t="shared" si="536"/>
        <v>0</v>
      </c>
      <c r="Y407" s="91">
        <f t="shared" si="536"/>
        <v>600</v>
      </c>
      <c r="Z407" s="91">
        <f t="shared" si="536"/>
        <v>0</v>
      </c>
      <c r="AA407" s="91">
        <f t="shared" si="536"/>
        <v>0</v>
      </c>
      <c r="AB407" s="91">
        <f t="shared" si="536"/>
        <v>157283</v>
      </c>
      <c r="AC407" s="91">
        <f t="shared" si="536"/>
        <v>80803</v>
      </c>
      <c r="AD407" s="91">
        <f t="shared" si="536"/>
        <v>2</v>
      </c>
      <c r="AE407" s="91">
        <f t="shared" si="536"/>
        <v>207</v>
      </c>
      <c r="AF407" s="91">
        <f t="shared" si="536"/>
        <v>-3324</v>
      </c>
      <c r="AG407" s="91">
        <f t="shared" si="536"/>
        <v>0</v>
      </c>
      <c r="AH407" s="91">
        <f t="shared" si="536"/>
        <v>0</v>
      </c>
      <c r="AI407" s="91">
        <f t="shared" si="536"/>
        <v>154168</v>
      </c>
      <c r="AJ407" s="91">
        <f t="shared" si="536"/>
        <v>80803</v>
      </c>
      <c r="AK407" s="91">
        <f t="shared" si="537"/>
        <v>0</v>
      </c>
      <c r="AL407" s="91">
        <f t="shared" si="537"/>
        <v>154168</v>
      </c>
      <c r="AM407" s="91">
        <f t="shared" si="537"/>
        <v>80803</v>
      </c>
      <c r="AN407" s="91">
        <f t="shared" si="537"/>
        <v>0</v>
      </c>
      <c r="AO407" s="91">
        <f t="shared" si="537"/>
        <v>183</v>
      </c>
      <c r="AP407" s="91">
        <f t="shared" si="537"/>
        <v>1</v>
      </c>
      <c r="AQ407" s="91">
        <f t="shared" si="537"/>
        <v>-713</v>
      </c>
      <c r="AR407" s="91">
        <f t="shared" si="537"/>
        <v>153639</v>
      </c>
      <c r="AS407" s="91">
        <f t="shared" si="537"/>
        <v>80090</v>
      </c>
      <c r="AT407" s="92">
        <f t="shared" si="537"/>
        <v>0</v>
      </c>
      <c r="AU407" s="92">
        <f t="shared" si="537"/>
        <v>0</v>
      </c>
      <c r="AV407" s="92">
        <f t="shared" si="537"/>
        <v>0</v>
      </c>
      <c r="AW407" s="92">
        <f t="shared" si="537"/>
        <v>153639</v>
      </c>
      <c r="AX407" s="92">
        <f t="shared" si="537"/>
        <v>80090</v>
      </c>
      <c r="AY407" s="91">
        <f t="shared" si="538"/>
        <v>-5199</v>
      </c>
      <c r="AZ407" s="91">
        <f t="shared" si="538"/>
        <v>0</v>
      </c>
      <c r="BA407" s="91">
        <f t="shared" si="538"/>
        <v>0</v>
      </c>
      <c r="BB407" s="91">
        <f t="shared" si="538"/>
        <v>0</v>
      </c>
      <c r="BC407" s="91">
        <f t="shared" si="538"/>
        <v>0</v>
      </c>
      <c r="BD407" s="91">
        <f t="shared" si="538"/>
        <v>148440</v>
      </c>
      <c r="BE407" s="91">
        <f t="shared" si="538"/>
        <v>80090</v>
      </c>
      <c r="BF407" s="91">
        <f t="shared" si="538"/>
        <v>0</v>
      </c>
      <c r="BG407" s="91">
        <f t="shared" si="538"/>
        <v>0</v>
      </c>
      <c r="BH407" s="91">
        <f t="shared" si="538"/>
        <v>0</v>
      </c>
      <c r="BI407" s="91">
        <f t="shared" si="538"/>
        <v>148440</v>
      </c>
      <c r="BJ407" s="91">
        <f t="shared" si="538"/>
        <v>80090</v>
      </c>
      <c r="BK407" s="91">
        <f t="shared" si="539"/>
        <v>0</v>
      </c>
      <c r="BL407" s="91">
        <f t="shared" si="539"/>
        <v>0</v>
      </c>
      <c r="BM407" s="91">
        <f t="shared" si="539"/>
        <v>0</v>
      </c>
      <c r="BN407" s="91">
        <f t="shared" si="539"/>
        <v>0</v>
      </c>
      <c r="BO407" s="91">
        <f t="shared" si="539"/>
        <v>148440</v>
      </c>
      <c r="BP407" s="91">
        <f t="shared" si="539"/>
        <v>80090</v>
      </c>
      <c r="BQ407" s="91">
        <f t="shared" si="539"/>
        <v>-1236</v>
      </c>
      <c r="BR407" s="91"/>
      <c r="BS407" s="91">
        <f t="shared" si="539"/>
        <v>-1780</v>
      </c>
      <c r="BT407" s="91">
        <f t="shared" si="539"/>
        <v>0</v>
      </c>
      <c r="BU407" s="91">
        <f t="shared" si="539"/>
        <v>145424</v>
      </c>
      <c r="BV407" s="91">
        <f t="shared" si="539"/>
        <v>80090</v>
      </c>
      <c r="BW407" s="91">
        <f t="shared" si="539"/>
        <v>144156</v>
      </c>
      <c r="BX407" s="91">
        <f t="shared" si="539"/>
        <v>79747</v>
      </c>
      <c r="BY407" s="77">
        <f t="shared" si="540"/>
        <v>99.12806689404775</v>
      </c>
      <c r="BZ407" s="77">
        <f t="shared" si="540"/>
        <v>99.57173180172306</v>
      </c>
    </row>
    <row r="408" spans="1:78" s="12" customFormat="1" ht="33.75" customHeight="1" hidden="1">
      <c r="A408" s="88" t="s">
        <v>129</v>
      </c>
      <c r="B408" s="89" t="s">
        <v>3</v>
      </c>
      <c r="C408" s="89" t="s">
        <v>128</v>
      </c>
      <c r="D408" s="90" t="s">
        <v>7</v>
      </c>
      <c r="E408" s="89" t="s">
        <v>130</v>
      </c>
      <c r="F408" s="75">
        <v>68151</v>
      </c>
      <c r="G408" s="75">
        <f>H408-F408</f>
        <v>88532</v>
      </c>
      <c r="H408" s="75">
        <f>68950+3719+24005+20582+36453+1134+2348-284-44-180</f>
        <v>156683</v>
      </c>
      <c r="I408" s="75">
        <f>68950+3719+8134</f>
        <v>80803</v>
      </c>
      <c r="J408" s="106"/>
      <c r="K408" s="106"/>
      <c r="L408" s="106"/>
      <c r="M408" s="75">
        <f>H408+J408+K408+L408</f>
        <v>156683</v>
      </c>
      <c r="N408" s="75">
        <f>I408+L408</f>
        <v>80803</v>
      </c>
      <c r="O408" s="106"/>
      <c r="P408" s="106"/>
      <c r="Q408" s="78"/>
      <c r="R408" s="106"/>
      <c r="S408" s="75">
        <f>M408+O408+P408+Q408+R408</f>
        <v>156683</v>
      </c>
      <c r="T408" s="75">
        <f>N408+R408</f>
        <v>80803</v>
      </c>
      <c r="U408" s="78"/>
      <c r="V408" s="78"/>
      <c r="W408" s="106"/>
      <c r="X408" s="75"/>
      <c r="Y408" s="78">
        <v>600</v>
      </c>
      <c r="Z408" s="106"/>
      <c r="AA408" s="106"/>
      <c r="AB408" s="75">
        <f>S408+U408+V408+W408+X408+Y408+Z408+AA408</f>
        <v>157283</v>
      </c>
      <c r="AC408" s="75">
        <f>T408+Z408+AA408</f>
        <v>80803</v>
      </c>
      <c r="AD408" s="75">
        <v>2</v>
      </c>
      <c r="AE408" s="75">
        <f>34+173</f>
        <v>207</v>
      </c>
      <c r="AF408" s="75">
        <f>-1079-2000-245</f>
        <v>-3324</v>
      </c>
      <c r="AG408" s="69"/>
      <c r="AH408" s="69"/>
      <c r="AI408" s="75">
        <f>AB408+AD408+AE408+AF408+AG408+AH408</f>
        <v>154168</v>
      </c>
      <c r="AJ408" s="75">
        <f>AC408+AH408</f>
        <v>80803</v>
      </c>
      <c r="AK408" s="106"/>
      <c r="AL408" s="75">
        <f>AI408+AK408</f>
        <v>154168</v>
      </c>
      <c r="AM408" s="75">
        <f>AJ408</f>
        <v>80803</v>
      </c>
      <c r="AN408" s="106"/>
      <c r="AO408" s="78">
        <f>33+150</f>
        <v>183</v>
      </c>
      <c r="AP408" s="78">
        <v>1</v>
      </c>
      <c r="AQ408" s="78">
        <v>-713</v>
      </c>
      <c r="AR408" s="75">
        <f>AL408+AN408+AO408+AP408+AQ408</f>
        <v>153639</v>
      </c>
      <c r="AS408" s="75">
        <f>AM408+AQ408</f>
        <v>80090</v>
      </c>
      <c r="AT408" s="81"/>
      <c r="AU408" s="81"/>
      <c r="AV408" s="81"/>
      <c r="AW408" s="76">
        <f>AV408+AU408+AT408+AR408</f>
        <v>153639</v>
      </c>
      <c r="AX408" s="76">
        <f>AV408+AS408</f>
        <v>80090</v>
      </c>
      <c r="AY408" s="75">
        <f>-3601-415-183-1000</f>
        <v>-5199</v>
      </c>
      <c r="AZ408" s="75"/>
      <c r="BA408" s="75"/>
      <c r="BB408" s="75"/>
      <c r="BC408" s="69"/>
      <c r="BD408" s="75">
        <f>AW408+AY408+AZ408+BA408+BB408+BC408</f>
        <v>148440</v>
      </c>
      <c r="BE408" s="75">
        <f>AX408+BC408</f>
        <v>80090</v>
      </c>
      <c r="BF408" s="106"/>
      <c r="BG408" s="106"/>
      <c r="BH408" s="106"/>
      <c r="BI408" s="75">
        <f>BD408+BF408+BG408+BH408</f>
        <v>148440</v>
      </c>
      <c r="BJ408" s="75">
        <f>BE408+BH408</f>
        <v>80090</v>
      </c>
      <c r="BK408" s="78"/>
      <c r="BL408" s="109"/>
      <c r="BM408" s="109"/>
      <c r="BN408" s="109"/>
      <c r="BO408" s="75">
        <f>BI408+BK408+BL408+BM408+BN408</f>
        <v>148440</v>
      </c>
      <c r="BP408" s="75">
        <f>BJ408+BN408</f>
        <v>80090</v>
      </c>
      <c r="BQ408" s="75">
        <f>-250-986</f>
        <v>-1236</v>
      </c>
      <c r="BR408" s="75"/>
      <c r="BS408" s="75">
        <v>-1780</v>
      </c>
      <c r="BT408" s="75"/>
      <c r="BU408" s="75">
        <f>BO408+BQ408+BS408+BT408</f>
        <v>145424</v>
      </c>
      <c r="BV408" s="75">
        <f>BP408+BT408</f>
        <v>80090</v>
      </c>
      <c r="BW408" s="75">
        <v>144156</v>
      </c>
      <c r="BX408" s="75">
        <v>79747</v>
      </c>
      <c r="BY408" s="77">
        <f t="shared" si="540"/>
        <v>99.12806689404775</v>
      </c>
      <c r="BZ408" s="77">
        <f t="shared" si="540"/>
        <v>99.57173180172306</v>
      </c>
    </row>
    <row r="409" spans="1:78" s="12" customFormat="1" ht="14.25" customHeight="1">
      <c r="A409" s="66"/>
      <c r="B409" s="67"/>
      <c r="C409" s="67"/>
      <c r="D409" s="68"/>
      <c r="E409" s="67"/>
      <c r="F409" s="107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69"/>
      <c r="T409" s="69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69"/>
      <c r="AE409" s="69"/>
      <c r="AF409" s="69"/>
      <c r="AG409" s="69"/>
      <c r="AH409" s="69"/>
      <c r="AI409" s="69"/>
      <c r="AJ409" s="69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8"/>
      <c r="AU409" s="108"/>
      <c r="AV409" s="108"/>
      <c r="AW409" s="108"/>
      <c r="AX409" s="108"/>
      <c r="AY409" s="69"/>
      <c r="AZ409" s="69"/>
      <c r="BA409" s="69"/>
      <c r="BB409" s="69"/>
      <c r="BC409" s="69"/>
      <c r="BD409" s="109"/>
      <c r="BE409" s="109"/>
      <c r="BF409" s="106"/>
      <c r="BG409" s="106"/>
      <c r="BH409" s="106"/>
      <c r="BI409" s="106"/>
      <c r="BJ409" s="106"/>
      <c r="BK409" s="109"/>
      <c r="BL409" s="109"/>
      <c r="BM409" s="109"/>
      <c r="BN409" s="109"/>
      <c r="BO409" s="109"/>
      <c r="BP409" s="109"/>
      <c r="BQ409" s="106"/>
      <c r="BR409" s="106"/>
      <c r="BS409" s="106"/>
      <c r="BT409" s="106"/>
      <c r="BU409" s="106"/>
      <c r="BV409" s="106"/>
      <c r="BW409" s="106"/>
      <c r="BX409" s="106"/>
      <c r="BY409" s="72"/>
      <c r="BZ409" s="72"/>
    </row>
    <row r="410" spans="1:78" s="12" customFormat="1" ht="21" customHeight="1">
      <c r="A410" s="66" t="s">
        <v>115</v>
      </c>
      <c r="B410" s="67" t="s">
        <v>3</v>
      </c>
      <c r="C410" s="67" t="s">
        <v>132</v>
      </c>
      <c r="D410" s="85"/>
      <c r="E410" s="67"/>
      <c r="F410" s="86">
        <f aca="true" t="shared" si="541" ref="F410:O410">F411+F413+F435+F441</f>
        <v>132453</v>
      </c>
      <c r="G410" s="86">
        <f t="shared" si="541"/>
        <v>276805</v>
      </c>
      <c r="H410" s="86">
        <f t="shared" si="541"/>
        <v>409258</v>
      </c>
      <c r="I410" s="86">
        <f t="shared" si="541"/>
        <v>175981</v>
      </c>
      <c r="J410" s="86">
        <f t="shared" si="541"/>
        <v>0</v>
      </c>
      <c r="K410" s="86">
        <f t="shared" si="541"/>
        <v>0</v>
      </c>
      <c r="L410" s="86">
        <f t="shared" si="541"/>
        <v>-60315</v>
      </c>
      <c r="M410" s="86">
        <f t="shared" si="541"/>
        <v>348943</v>
      </c>
      <c r="N410" s="86">
        <f t="shared" si="541"/>
        <v>115666</v>
      </c>
      <c r="O410" s="86">
        <f t="shared" si="541"/>
        <v>0</v>
      </c>
      <c r="P410" s="86"/>
      <c r="Q410" s="86">
        <f aca="true" t="shared" si="542" ref="Q410:AC410">Q411+Q413+Q435+Q441</f>
        <v>0</v>
      </c>
      <c r="R410" s="86">
        <f t="shared" si="542"/>
        <v>0</v>
      </c>
      <c r="S410" s="86">
        <f t="shared" si="542"/>
        <v>348943</v>
      </c>
      <c r="T410" s="86">
        <f t="shared" si="542"/>
        <v>115666</v>
      </c>
      <c r="U410" s="86">
        <f t="shared" si="542"/>
        <v>0</v>
      </c>
      <c r="V410" s="86">
        <f t="shared" si="542"/>
        <v>0</v>
      </c>
      <c r="W410" s="86">
        <f t="shared" si="542"/>
        <v>0</v>
      </c>
      <c r="X410" s="86">
        <f t="shared" si="542"/>
        <v>0</v>
      </c>
      <c r="Y410" s="86">
        <f t="shared" si="542"/>
        <v>-600</v>
      </c>
      <c r="Z410" s="86">
        <f t="shared" si="542"/>
        <v>8</v>
      </c>
      <c r="AA410" s="86">
        <f t="shared" si="542"/>
        <v>16621</v>
      </c>
      <c r="AB410" s="86">
        <f t="shared" si="542"/>
        <v>364972</v>
      </c>
      <c r="AC410" s="86">
        <f t="shared" si="542"/>
        <v>132295</v>
      </c>
      <c r="AD410" s="86">
        <f aca="true" t="shared" si="543" ref="AD410:AJ410">AD411+AD413+AD435+AD441</f>
        <v>0</v>
      </c>
      <c r="AE410" s="86">
        <f t="shared" si="543"/>
        <v>0</v>
      </c>
      <c r="AF410" s="86">
        <f t="shared" si="543"/>
        <v>-120295</v>
      </c>
      <c r="AG410" s="86">
        <f t="shared" si="543"/>
        <v>0</v>
      </c>
      <c r="AH410" s="86">
        <f t="shared" si="543"/>
        <v>0</v>
      </c>
      <c r="AI410" s="86">
        <f t="shared" si="543"/>
        <v>244677</v>
      </c>
      <c r="AJ410" s="86">
        <f t="shared" si="543"/>
        <v>132295</v>
      </c>
      <c r="AK410" s="86">
        <f aca="true" t="shared" si="544" ref="AK410:AS410">AK411+AK413+AK435+AK441</f>
        <v>0</v>
      </c>
      <c r="AL410" s="86">
        <f t="shared" si="544"/>
        <v>244677</v>
      </c>
      <c r="AM410" s="86">
        <f t="shared" si="544"/>
        <v>132295</v>
      </c>
      <c r="AN410" s="86">
        <f t="shared" si="544"/>
        <v>0</v>
      </c>
      <c r="AO410" s="86">
        <f>AO411+AO413+AO435+AO441</f>
        <v>0</v>
      </c>
      <c r="AP410" s="86">
        <f t="shared" si="544"/>
        <v>0</v>
      </c>
      <c r="AQ410" s="86">
        <f t="shared" si="544"/>
        <v>19745</v>
      </c>
      <c r="AR410" s="86">
        <f t="shared" si="544"/>
        <v>264422</v>
      </c>
      <c r="AS410" s="86">
        <f t="shared" si="544"/>
        <v>152040</v>
      </c>
      <c r="AT410" s="87">
        <f aca="true" t="shared" si="545" ref="AT410:BE410">AT411+AT413+AT435+AT441</f>
        <v>0</v>
      </c>
      <c r="AU410" s="87">
        <f t="shared" si="545"/>
        <v>-1870</v>
      </c>
      <c r="AV410" s="87">
        <f t="shared" si="545"/>
        <v>0</v>
      </c>
      <c r="AW410" s="87">
        <f t="shared" si="545"/>
        <v>262552</v>
      </c>
      <c r="AX410" s="87">
        <f t="shared" si="545"/>
        <v>152040</v>
      </c>
      <c r="AY410" s="86">
        <f t="shared" si="545"/>
        <v>-21305</v>
      </c>
      <c r="AZ410" s="86">
        <f t="shared" si="545"/>
        <v>420</v>
      </c>
      <c r="BA410" s="86">
        <f t="shared" si="545"/>
        <v>0</v>
      </c>
      <c r="BB410" s="86">
        <f t="shared" si="545"/>
        <v>0</v>
      </c>
      <c r="BC410" s="86">
        <f t="shared" si="545"/>
        <v>44854</v>
      </c>
      <c r="BD410" s="86">
        <f t="shared" si="545"/>
        <v>286521</v>
      </c>
      <c r="BE410" s="86">
        <f t="shared" si="545"/>
        <v>196894</v>
      </c>
      <c r="BF410" s="86">
        <f>BF411+BF413+BF435+BF441</f>
        <v>1988</v>
      </c>
      <c r="BG410" s="86">
        <f>BG411+BG413+BG435+BG441</f>
        <v>0</v>
      </c>
      <c r="BH410" s="86">
        <f>BH411+BH413+BH435+BH441</f>
        <v>0</v>
      </c>
      <c r="BI410" s="86">
        <f>BI411+BI413+BI435+BI441</f>
        <v>288509</v>
      </c>
      <c r="BJ410" s="86">
        <f>BJ411+BJ413+BJ435+BJ441</f>
        <v>196894</v>
      </c>
      <c r="BK410" s="86">
        <f aca="true" t="shared" si="546" ref="BK410:BP410">BK411+BK413+BK435+BK441</f>
        <v>0</v>
      </c>
      <c r="BL410" s="86">
        <f t="shared" si="546"/>
        <v>0</v>
      </c>
      <c r="BM410" s="86">
        <f t="shared" si="546"/>
        <v>0</v>
      </c>
      <c r="BN410" s="86">
        <f t="shared" si="546"/>
        <v>0</v>
      </c>
      <c r="BO410" s="86">
        <f t="shared" si="546"/>
        <v>288509</v>
      </c>
      <c r="BP410" s="86">
        <f t="shared" si="546"/>
        <v>196894</v>
      </c>
      <c r="BQ410" s="86">
        <f>BQ411+BQ413+BQ435+BQ441</f>
        <v>0</v>
      </c>
      <c r="BR410" s="86"/>
      <c r="BS410" s="86">
        <f aca="true" t="shared" si="547" ref="BS410:BX410">BS411+BS413+BS435+BS441</f>
        <v>-11139</v>
      </c>
      <c r="BT410" s="86">
        <f t="shared" si="547"/>
        <v>64752</v>
      </c>
      <c r="BU410" s="86">
        <f t="shared" si="547"/>
        <v>342122</v>
      </c>
      <c r="BV410" s="86">
        <f t="shared" si="547"/>
        <v>261646</v>
      </c>
      <c r="BW410" s="86">
        <f t="shared" si="547"/>
        <v>248184</v>
      </c>
      <c r="BX410" s="86">
        <f t="shared" si="547"/>
        <v>178515</v>
      </c>
      <c r="BY410" s="71">
        <f t="shared" si="540"/>
        <v>72.54254330326609</v>
      </c>
      <c r="BZ410" s="71">
        <f>BX410/BV410*100</f>
        <v>68.22768167676938</v>
      </c>
    </row>
    <row r="411" spans="1:78" s="12" customFormat="1" ht="33.75" customHeight="1" hidden="1">
      <c r="A411" s="88" t="s">
        <v>365</v>
      </c>
      <c r="B411" s="89" t="s">
        <v>3</v>
      </c>
      <c r="C411" s="89" t="s">
        <v>132</v>
      </c>
      <c r="D411" s="90" t="s">
        <v>272</v>
      </c>
      <c r="E411" s="67"/>
      <c r="F411" s="91">
        <f aca="true" t="shared" si="548" ref="F411:BQ411">F412</f>
        <v>0</v>
      </c>
      <c r="G411" s="91">
        <f t="shared" si="548"/>
        <v>40742</v>
      </c>
      <c r="H411" s="91">
        <f t="shared" si="548"/>
        <v>40742</v>
      </c>
      <c r="I411" s="91">
        <f t="shared" si="548"/>
        <v>40742</v>
      </c>
      <c r="J411" s="91">
        <f t="shared" si="548"/>
        <v>0</v>
      </c>
      <c r="K411" s="91">
        <f t="shared" si="548"/>
        <v>0</v>
      </c>
      <c r="L411" s="91">
        <f t="shared" si="548"/>
        <v>-52</v>
      </c>
      <c r="M411" s="91">
        <f t="shared" si="548"/>
        <v>40690</v>
      </c>
      <c r="N411" s="91">
        <f t="shared" si="548"/>
        <v>40690</v>
      </c>
      <c r="O411" s="91">
        <f t="shared" si="548"/>
        <v>0</v>
      </c>
      <c r="P411" s="91"/>
      <c r="Q411" s="91">
        <f t="shared" si="548"/>
        <v>0</v>
      </c>
      <c r="R411" s="91">
        <f t="shared" si="548"/>
        <v>0</v>
      </c>
      <c r="S411" s="91">
        <f t="shared" si="548"/>
        <v>40690</v>
      </c>
      <c r="T411" s="91">
        <f t="shared" si="548"/>
        <v>40690</v>
      </c>
      <c r="U411" s="91">
        <f t="shared" si="548"/>
        <v>0</v>
      </c>
      <c r="V411" s="91">
        <f t="shared" si="548"/>
        <v>0</v>
      </c>
      <c r="W411" s="91">
        <f t="shared" si="548"/>
        <v>0</v>
      </c>
      <c r="X411" s="91">
        <f t="shared" si="548"/>
        <v>0</v>
      </c>
      <c r="Y411" s="91">
        <f t="shared" si="548"/>
        <v>0</v>
      </c>
      <c r="Z411" s="91">
        <f t="shared" si="548"/>
        <v>0</v>
      </c>
      <c r="AA411" s="91">
        <f t="shared" si="548"/>
        <v>0</v>
      </c>
      <c r="AB411" s="91">
        <f t="shared" si="548"/>
        <v>40690</v>
      </c>
      <c r="AC411" s="91">
        <f t="shared" si="548"/>
        <v>40690</v>
      </c>
      <c r="AD411" s="91">
        <f t="shared" si="548"/>
        <v>0</v>
      </c>
      <c r="AE411" s="91">
        <f t="shared" si="548"/>
        <v>0</v>
      </c>
      <c r="AF411" s="91">
        <f t="shared" si="548"/>
        <v>0</v>
      </c>
      <c r="AG411" s="91">
        <f t="shared" si="548"/>
        <v>0</v>
      </c>
      <c r="AH411" s="91">
        <f t="shared" si="548"/>
        <v>0</v>
      </c>
      <c r="AI411" s="91">
        <f t="shared" si="548"/>
        <v>40690</v>
      </c>
      <c r="AJ411" s="91">
        <f t="shared" si="548"/>
        <v>40690</v>
      </c>
      <c r="AK411" s="91">
        <f t="shared" si="548"/>
        <v>0</v>
      </c>
      <c r="AL411" s="91">
        <f t="shared" si="548"/>
        <v>40690</v>
      </c>
      <c r="AM411" s="91">
        <f t="shared" si="548"/>
        <v>40690</v>
      </c>
      <c r="AN411" s="91">
        <f t="shared" si="548"/>
        <v>0</v>
      </c>
      <c r="AO411" s="91">
        <f t="shared" si="548"/>
        <v>0</v>
      </c>
      <c r="AP411" s="91">
        <f t="shared" si="548"/>
        <v>0</v>
      </c>
      <c r="AQ411" s="91">
        <f t="shared" si="548"/>
        <v>0</v>
      </c>
      <c r="AR411" s="91">
        <f t="shared" si="548"/>
        <v>40690</v>
      </c>
      <c r="AS411" s="91">
        <f t="shared" si="548"/>
        <v>40690</v>
      </c>
      <c r="AT411" s="92">
        <f t="shared" si="548"/>
        <v>0</v>
      </c>
      <c r="AU411" s="92">
        <f t="shared" si="548"/>
        <v>0</v>
      </c>
      <c r="AV411" s="92">
        <f t="shared" si="548"/>
        <v>0</v>
      </c>
      <c r="AW411" s="92">
        <f t="shared" si="548"/>
        <v>40690</v>
      </c>
      <c r="AX411" s="92">
        <f t="shared" si="548"/>
        <v>40690</v>
      </c>
      <c r="AY411" s="91">
        <f t="shared" si="548"/>
        <v>0</v>
      </c>
      <c r="AZ411" s="91">
        <f t="shared" si="548"/>
        <v>0</v>
      </c>
      <c r="BA411" s="91">
        <f t="shared" si="548"/>
        <v>0</v>
      </c>
      <c r="BB411" s="91">
        <f t="shared" si="548"/>
        <v>0</v>
      </c>
      <c r="BC411" s="91">
        <f t="shared" si="548"/>
        <v>0</v>
      </c>
      <c r="BD411" s="91">
        <f t="shared" si="548"/>
        <v>40690</v>
      </c>
      <c r="BE411" s="91">
        <f t="shared" si="548"/>
        <v>40690</v>
      </c>
      <c r="BF411" s="91">
        <f t="shared" si="548"/>
        <v>0</v>
      </c>
      <c r="BG411" s="91">
        <f t="shared" si="548"/>
        <v>0</v>
      </c>
      <c r="BH411" s="91">
        <f t="shared" si="548"/>
        <v>0</v>
      </c>
      <c r="BI411" s="91">
        <f t="shared" si="548"/>
        <v>40690</v>
      </c>
      <c r="BJ411" s="91">
        <f t="shared" si="548"/>
        <v>40690</v>
      </c>
      <c r="BK411" s="91">
        <f t="shared" si="548"/>
        <v>0</v>
      </c>
      <c r="BL411" s="91">
        <f t="shared" si="548"/>
        <v>0</v>
      </c>
      <c r="BM411" s="91">
        <f t="shared" si="548"/>
        <v>0</v>
      </c>
      <c r="BN411" s="91">
        <f t="shared" si="548"/>
        <v>0</v>
      </c>
      <c r="BO411" s="91">
        <f t="shared" si="548"/>
        <v>40690</v>
      </c>
      <c r="BP411" s="91">
        <f t="shared" si="548"/>
        <v>40690</v>
      </c>
      <c r="BQ411" s="91">
        <f t="shared" si="548"/>
        <v>0</v>
      </c>
      <c r="BR411" s="91"/>
      <c r="BS411" s="91">
        <f aca="true" t="shared" si="549" ref="BS411:BX411">BS412</f>
        <v>0</v>
      </c>
      <c r="BT411" s="91">
        <f t="shared" si="549"/>
        <v>46516</v>
      </c>
      <c r="BU411" s="91">
        <f t="shared" si="549"/>
        <v>87206</v>
      </c>
      <c r="BV411" s="91">
        <f t="shared" si="549"/>
        <v>87206</v>
      </c>
      <c r="BW411" s="91">
        <f t="shared" si="549"/>
        <v>40027</v>
      </c>
      <c r="BX411" s="91">
        <f t="shared" si="549"/>
        <v>40027</v>
      </c>
      <c r="BY411" s="77">
        <f t="shared" si="540"/>
        <v>45.899364722610834</v>
      </c>
      <c r="BZ411" s="77">
        <f t="shared" si="540"/>
        <v>45.899364722610834</v>
      </c>
    </row>
    <row r="412" spans="1:78" s="12" customFormat="1" ht="16.5" customHeight="1" hidden="1">
      <c r="A412" s="88" t="s">
        <v>11</v>
      </c>
      <c r="B412" s="89" t="s">
        <v>3</v>
      </c>
      <c r="C412" s="89" t="s">
        <v>132</v>
      </c>
      <c r="D412" s="90" t="s">
        <v>272</v>
      </c>
      <c r="E412" s="89" t="s">
        <v>18</v>
      </c>
      <c r="F412" s="91"/>
      <c r="G412" s="75">
        <f>H412-F412</f>
        <v>40742</v>
      </c>
      <c r="H412" s="91">
        <v>40742</v>
      </c>
      <c r="I412" s="91">
        <v>40742</v>
      </c>
      <c r="J412" s="106"/>
      <c r="K412" s="106"/>
      <c r="L412" s="78">
        <v>-52</v>
      </c>
      <c r="M412" s="75">
        <f>H412+J412+K412+L412</f>
        <v>40690</v>
      </c>
      <c r="N412" s="75">
        <f>I412+L412</f>
        <v>40690</v>
      </c>
      <c r="O412" s="106"/>
      <c r="P412" s="106"/>
      <c r="Q412" s="106"/>
      <c r="R412" s="106"/>
      <c r="S412" s="75">
        <f>M412+O412+P412+Q412+R412</f>
        <v>40690</v>
      </c>
      <c r="T412" s="75">
        <f>N412+R412</f>
        <v>40690</v>
      </c>
      <c r="U412" s="106"/>
      <c r="V412" s="106"/>
      <c r="W412" s="106"/>
      <c r="X412" s="106"/>
      <c r="Y412" s="106"/>
      <c r="Z412" s="106"/>
      <c r="AA412" s="106"/>
      <c r="AB412" s="75">
        <f>S412+U412+V412+W412+X412+Y412+Z412+AA412</f>
        <v>40690</v>
      </c>
      <c r="AC412" s="75">
        <f>T412+Z412+AA412</f>
        <v>40690</v>
      </c>
      <c r="AD412" s="69"/>
      <c r="AE412" s="69"/>
      <c r="AF412" s="69"/>
      <c r="AG412" s="69"/>
      <c r="AH412" s="69"/>
      <c r="AI412" s="75">
        <f>AB412+AD412+AE412+AF412+AG412+AH412</f>
        <v>40690</v>
      </c>
      <c r="AJ412" s="75">
        <f>AC412+AH412</f>
        <v>40690</v>
      </c>
      <c r="AK412" s="106"/>
      <c r="AL412" s="75">
        <f>AI412+AK412</f>
        <v>40690</v>
      </c>
      <c r="AM412" s="75">
        <f>AJ412</f>
        <v>40690</v>
      </c>
      <c r="AN412" s="106"/>
      <c r="AO412" s="106"/>
      <c r="AP412" s="106"/>
      <c r="AQ412" s="106"/>
      <c r="AR412" s="75">
        <f>AL412+AN412+AO412+AP412+AQ412</f>
        <v>40690</v>
      </c>
      <c r="AS412" s="75">
        <f>AM412+AQ412</f>
        <v>40690</v>
      </c>
      <c r="AT412" s="108"/>
      <c r="AU412" s="108"/>
      <c r="AV412" s="108"/>
      <c r="AW412" s="76">
        <f>AV412+AU412+AT412+AR412</f>
        <v>40690</v>
      </c>
      <c r="AX412" s="76">
        <f>AV412+AS412</f>
        <v>40690</v>
      </c>
      <c r="AY412" s="69"/>
      <c r="AZ412" s="69"/>
      <c r="BA412" s="69"/>
      <c r="BB412" s="69"/>
      <c r="BC412" s="69"/>
      <c r="BD412" s="75">
        <f>AW412+AY412+AZ412+BA412+BB412+BC412</f>
        <v>40690</v>
      </c>
      <c r="BE412" s="75">
        <f>AX412+BC412</f>
        <v>40690</v>
      </c>
      <c r="BF412" s="106"/>
      <c r="BG412" s="106"/>
      <c r="BH412" s="106"/>
      <c r="BI412" s="75">
        <f>BD412+BF412+BG412+BH412</f>
        <v>40690</v>
      </c>
      <c r="BJ412" s="75">
        <f>BE412+BH412</f>
        <v>40690</v>
      </c>
      <c r="BK412" s="109"/>
      <c r="BL412" s="109"/>
      <c r="BM412" s="109"/>
      <c r="BN412" s="109"/>
      <c r="BO412" s="75">
        <f>BI412+BK412+BL412+BM412+BN412</f>
        <v>40690</v>
      </c>
      <c r="BP412" s="75">
        <f>BJ412+BN412</f>
        <v>40690</v>
      </c>
      <c r="BQ412" s="106"/>
      <c r="BR412" s="106"/>
      <c r="BS412" s="106"/>
      <c r="BT412" s="75">
        <v>46516</v>
      </c>
      <c r="BU412" s="75">
        <f>BO412+BQ412+BS412+BT412</f>
        <v>87206</v>
      </c>
      <c r="BV412" s="75">
        <f>BP412+BT412</f>
        <v>87206</v>
      </c>
      <c r="BW412" s="75">
        <v>40027</v>
      </c>
      <c r="BX412" s="75">
        <v>40027</v>
      </c>
      <c r="BY412" s="77">
        <f t="shared" si="540"/>
        <v>45.899364722610834</v>
      </c>
      <c r="BZ412" s="77">
        <f t="shared" si="540"/>
        <v>45.899364722610834</v>
      </c>
    </row>
    <row r="413" spans="1:78" s="12" customFormat="1" ht="15.75" customHeight="1" hidden="1">
      <c r="A413" s="88" t="s">
        <v>9</v>
      </c>
      <c r="B413" s="89" t="s">
        <v>3</v>
      </c>
      <c r="C413" s="89" t="s">
        <v>132</v>
      </c>
      <c r="D413" s="90" t="s">
        <v>116</v>
      </c>
      <c r="E413" s="89"/>
      <c r="F413" s="91">
        <f aca="true" t="shared" si="550" ref="F413:N413">F415+F414+F416+F418+F424+F426</f>
        <v>30311</v>
      </c>
      <c r="G413" s="91">
        <f t="shared" si="550"/>
        <v>98509</v>
      </c>
      <c r="H413" s="91">
        <f t="shared" si="550"/>
        <v>128820</v>
      </c>
      <c r="I413" s="91">
        <f t="shared" si="550"/>
        <v>98669</v>
      </c>
      <c r="J413" s="91">
        <f t="shared" si="550"/>
        <v>0</v>
      </c>
      <c r="K413" s="91">
        <f t="shared" si="550"/>
        <v>0</v>
      </c>
      <c r="L413" s="91">
        <f t="shared" si="550"/>
        <v>-60201</v>
      </c>
      <c r="M413" s="91">
        <f t="shared" si="550"/>
        <v>68619</v>
      </c>
      <c r="N413" s="91">
        <f t="shared" si="550"/>
        <v>38468</v>
      </c>
      <c r="O413" s="91">
        <f>O415+O414+O416+O418+O424+O426+O428+O433</f>
        <v>0</v>
      </c>
      <c r="P413" s="91"/>
      <c r="Q413" s="91">
        <f aca="true" t="shared" si="551" ref="Q413:AS413">Q415+Q414+Q416+Q418+Q424+Q426+Q428+Q433</f>
        <v>0</v>
      </c>
      <c r="R413" s="91">
        <f t="shared" si="551"/>
        <v>0</v>
      </c>
      <c r="S413" s="91">
        <f t="shared" si="551"/>
        <v>68619</v>
      </c>
      <c r="T413" s="91">
        <f t="shared" si="551"/>
        <v>38468</v>
      </c>
      <c r="U413" s="91">
        <f t="shared" si="551"/>
        <v>0</v>
      </c>
      <c r="V413" s="91">
        <f t="shared" si="551"/>
        <v>0</v>
      </c>
      <c r="W413" s="91">
        <f t="shared" si="551"/>
        <v>0</v>
      </c>
      <c r="X413" s="91">
        <f t="shared" si="551"/>
        <v>0</v>
      </c>
      <c r="Y413" s="91">
        <f t="shared" si="551"/>
        <v>-600</v>
      </c>
      <c r="Z413" s="91">
        <f t="shared" si="551"/>
        <v>8</v>
      </c>
      <c r="AA413" s="91">
        <f t="shared" si="551"/>
        <v>16621</v>
      </c>
      <c r="AB413" s="91">
        <f t="shared" si="551"/>
        <v>84648</v>
      </c>
      <c r="AC413" s="91">
        <f t="shared" si="551"/>
        <v>55097</v>
      </c>
      <c r="AD413" s="91">
        <f t="shared" si="551"/>
        <v>0</v>
      </c>
      <c r="AE413" s="91">
        <f t="shared" si="551"/>
        <v>0</v>
      </c>
      <c r="AF413" s="91">
        <f t="shared" si="551"/>
        <v>0</v>
      </c>
      <c r="AG413" s="91">
        <f t="shared" si="551"/>
        <v>0</v>
      </c>
      <c r="AH413" s="91">
        <f t="shared" si="551"/>
        <v>0</v>
      </c>
      <c r="AI413" s="91">
        <f t="shared" si="551"/>
        <v>84648</v>
      </c>
      <c r="AJ413" s="91">
        <f t="shared" si="551"/>
        <v>55097</v>
      </c>
      <c r="AK413" s="91">
        <f t="shared" si="551"/>
        <v>0</v>
      </c>
      <c r="AL413" s="91">
        <f t="shared" si="551"/>
        <v>84648</v>
      </c>
      <c r="AM413" s="91">
        <f t="shared" si="551"/>
        <v>55097</v>
      </c>
      <c r="AN413" s="91">
        <f t="shared" si="551"/>
        <v>0</v>
      </c>
      <c r="AO413" s="91">
        <f t="shared" si="551"/>
        <v>0</v>
      </c>
      <c r="AP413" s="91">
        <f t="shared" si="551"/>
        <v>0</v>
      </c>
      <c r="AQ413" s="91">
        <f t="shared" si="551"/>
        <v>12402</v>
      </c>
      <c r="AR413" s="91">
        <f t="shared" si="551"/>
        <v>97050</v>
      </c>
      <c r="AS413" s="91">
        <f t="shared" si="551"/>
        <v>67499</v>
      </c>
      <c r="AT413" s="92">
        <f aca="true" t="shared" si="552" ref="AT413:BV413">AT415+AT414+AT416+AT418+AT424+AT426+AT428+AT433</f>
        <v>0</v>
      </c>
      <c r="AU413" s="92">
        <f t="shared" si="552"/>
        <v>0</v>
      </c>
      <c r="AV413" s="92">
        <f t="shared" si="552"/>
        <v>0</v>
      </c>
      <c r="AW413" s="92">
        <f t="shared" si="552"/>
        <v>97050</v>
      </c>
      <c r="AX413" s="92">
        <f t="shared" si="552"/>
        <v>67499</v>
      </c>
      <c r="AY413" s="91">
        <f t="shared" si="552"/>
        <v>0</v>
      </c>
      <c r="AZ413" s="91">
        <f t="shared" si="552"/>
        <v>0</v>
      </c>
      <c r="BA413" s="91">
        <f t="shared" si="552"/>
        <v>0</v>
      </c>
      <c r="BB413" s="91">
        <f t="shared" si="552"/>
        <v>0</v>
      </c>
      <c r="BC413" s="91">
        <f t="shared" si="552"/>
        <v>52197</v>
      </c>
      <c r="BD413" s="91">
        <f>BD415+BD414+BD416+BD418+BD424+BD426+BD428+BD433</f>
        <v>149247</v>
      </c>
      <c r="BE413" s="91">
        <f t="shared" si="552"/>
        <v>119696</v>
      </c>
      <c r="BF413" s="91">
        <f t="shared" si="552"/>
        <v>0</v>
      </c>
      <c r="BG413" s="91">
        <f t="shared" si="552"/>
        <v>0</v>
      </c>
      <c r="BH413" s="91">
        <f t="shared" si="552"/>
        <v>0</v>
      </c>
      <c r="BI413" s="91">
        <f t="shared" si="552"/>
        <v>149247</v>
      </c>
      <c r="BJ413" s="91">
        <f t="shared" si="552"/>
        <v>119696</v>
      </c>
      <c r="BK413" s="91">
        <f t="shared" si="552"/>
        <v>0</v>
      </c>
      <c r="BL413" s="91">
        <f t="shared" si="552"/>
        <v>0</v>
      </c>
      <c r="BM413" s="91">
        <f t="shared" si="552"/>
        <v>0</v>
      </c>
      <c r="BN413" s="91">
        <f t="shared" si="552"/>
        <v>0</v>
      </c>
      <c r="BO413" s="91">
        <f t="shared" si="552"/>
        <v>149247</v>
      </c>
      <c r="BP413" s="91">
        <f t="shared" si="552"/>
        <v>119696</v>
      </c>
      <c r="BQ413" s="91">
        <f t="shared" si="552"/>
        <v>0</v>
      </c>
      <c r="BR413" s="91"/>
      <c r="BS413" s="91">
        <f t="shared" si="552"/>
        <v>0</v>
      </c>
      <c r="BT413" s="91">
        <f t="shared" si="552"/>
        <v>0</v>
      </c>
      <c r="BU413" s="91">
        <f t="shared" si="552"/>
        <v>149247</v>
      </c>
      <c r="BV413" s="91">
        <f t="shared" si="552"/>
        <v>119696</v>
      </c>
      <c r="BW413" s="91">
        <f>BW415+BW414+BW416+BW418+BW424+BW426+BW428+BW433</f>
        <v>150207</v>
      </c>
      <c r="BX413" s="91">
        <f>BX415+BX414+BX416+BX418+BX424+BX426+BX428+BX433</f>
        <v>120657</v>
      </c>
      <c r="BY413" s="77">
        <f t="shared" si="540"/>
        <v>100.64322900962834</v>
      </c>
      <c r="BZ413" s="77">
        <f t="shared" si="540"/>
        <v>100.8028672637348</v>
      </c>
    </row>
    <row r="414" spans="1:78" s="12" customFormat="1" ht="69" customHeight="1" hidden="1">
      <c r="A414" s="88" t="s">
        <v>138</v>
      </c>
      <c r="B414" s="89" t="s">
        <v>3</v>
      </c>
      <c r="C414" s="89" t="s">
        <v>132</v>
      </c>
      <c r="D414" s="90" t="s">
        <v>10</v>
      </c>
      <c r="E414" s="89" t="s">
        <v>139</v>
      </c>
      <c r="F414" s="75">
        <v>20760</v>
      </c>
      <c r="G414" s="75">
        <f>H414-F414</f>
        <v>-160</v>
      </c>
      <c r="H414" s="75">
        <v>20600</v>
      </c>
      <c r="I414" s="106"/>
      <c r="J414" s="106"/>
      <c r="K414" s="106"/>
      <c r="L414" s="106"/>
      <c r="M414" s="75">
        <f>H414+J414+K414+L414</f>
        <v>20600</v>
      </c>
      <c r="N414" s="78">
        <f>I414+L414</f>
        <v>0</v>
      </c>
      <c r="O414" s="106"/>
      <c r="P414" s="106"/>
      <c r="Q414" s="106"/>
      <c r="R414" s="106"/>
      <c r="S414" s="75">
        <f>M414+O414+P414+Q414+R414</f>
        <v>20600</v>
      </c>
      <c r="T414" s="75">
        <f>N414+R414</f>
        <v>0</v>
      </c>
      <c r="U414" s="106"/>
      <c r="V414" s="106"/>
      <c r="W414" s="106"/>
      <c r="X414" s="106"/>
      <c r="Y414" s="78">
        <v>-600</v>
      </c>
      <c r="Z414" s="106"/>
      <c r="AA414" s="106"/>
      <c r="AB414" s="75">
        <f>S414+U414+V414+W414+X414+Y414+Z414+AA414</f>
        <v>20000</v>
      </c>
      <c r="AC414" s="75">
        <f>T414+Z414+AA414</f>
        <v>0</v>
      </c>
      <c r="AD414" s="69"/>
      <c r="AE414" s="69"/>
      <c r="AF414" s="69"/>
      <c r="AG414" s="69"/>
      <c r="AH414" s="69"/>
      <c r="AI414" s="75">
        <f>AB414+AD414+AE414+AF414+AG414+AH414</f>
        <v>20000</v>
      </c>
      <c r="AJ414" s="75">
        <f>AC414+AH414</f>
        <v>0</v>
      </c>
      <c r="AK414" s="106"/>
      <c r="AL414" s="75">
        <f>AI414+AK414</f>
        <v>20000</v>
      </c>
      <c r="AM414" s="75">
        <f>AJ414</f>
        <v>0</v>
      </c>
      <c r="AN414" s="106"/>
      <c r="AO414" s="106"/>
      <c r="AP414" s="106"/>
      <c r="AQ414" s="106"/>
      <c r="AR414" s="75">
        <f>AL414+AN414+AO414+AP414+AQ414</f>
        <v>20000</v>
      </c>
      <c r="AS414" s="75">
        <f>AM414+AQ414</f>
        <v>0</v>
      </c>
      <c r="AT414" s="108"/>
      <c r="AU414" s="108"/>
      <c r="AV414" s="108"/>
      <c r="AW414" s="76">
        <f>AV414+AU414+AT414+AR414</f>
        <v>20000</v>
      </c>
      <c r="AX414" s="76">
        <f>AV414+AS414</f>
        <v>0</v>
      </c>
      <c r="AY414" s="69"/>
      <c r="AZ414" s="69"/>
      <c r="BA414" s="69"/>
      <c r="BB414" s="69"/>
      <c r="BC414" s="69"/>
      <c r="BD414" s="75">
        <f>AW414+AY414+AZ414+BA414+BB414+BC414</f>
        <v>20000</v>
      </c>
      <c r="BE414" s="75">
        <f>AX414+BC414</f>
        <v>0</v>
      </c>
      <c r="BF414" s="106"/>
      <c r="BG414" s="106"/>
      <c r="BH414" s="106"/>
      <c r="BI414" s="75">
        <f>BD414+BF414+BG414+BH414</f>
        <v>20000</v>
      </c>
      <c r="BJ414" s="75">
        <f>BE414+BH414</f>
        <v>0</v>
      </c>
      <c r="BK414" s="109"/>
      <c r="BL414" s="109"/>
      <c r="BM414" s="109"/>
      <c r="BN414" s="109"/>
      <c r="BO414" s="75">
        <f>BI414+BK414+BL414+BM414+BN414</f>
        <v>20000</v>
      </c>
      <c r="BP414" s="75">
        <f>BJ414+BN414</f>
        <v>0</v>
      </c>
      <c r="BQ414" s="106"/>
      <c r="BR414" s="106"/>
      <c r="BS414" s="106"/>
      <c r="BT414" s="106"/>
      <c r="BU414" s="75">
        <f>BO414+BQ414+BS414+BT414</f>
        <v>20000</v>
      </c>
      <c r="BV414" s="75">
        <f>BP414+BT414</f>
        <v>0</v>
      </c>
      <c r="BW414" s="75">
        <v>20000</v>
      </c>
      <c r="BX414" s="75">
        <f>BR414+BV414</f>
        <v>0</v>
      </c>
      <c r="BY414" s="77">
        <f t="shared" si="540"/>
        <v>100</v>
      </c>
      <c r="BZ414" s="72"/>
    </row>
    <row r="415" spans="1:78" s="12" customFormat="1" ht="22.5" customHeight="1" hidden="1">
      <c r="A415" s="88" t="s">
        <v>11</v>
      </c>
      <c r="B415" s="89" t="s">
        <v>3</v>
      </c>
      <c r="C415" s="89" t="s">
        <v>132</v>
      </c>
      <c r="D415" s="90" t="s">
        <v>10</v>
      </c>
      <c r="E415" s="89" t="s">
        <v>18</v>
      </c>
      <c r="F415" s="75">
        <v>9551</v>
      </c>
      <c r="G415" s="75">
        <f>H415-F415</f>
        <v>0</v>
      </c>
      <c r="H415" s="75">
        <f>9550+1</f>
        <v>9551</v>
      </c>
      <c r="I415" s="106"/>
      <c r="J415" s="106"/>
      <c r="K415" s="106"/>
      <c r="L415" s="106"/>
      <c r="M415" s="75">
        <f>H415+J415+K415+L415</f>
        <v>9551</v>
      </c>
      <c r="N415" s="78">
        <f>I415+L415</f>
        <v>0</v>
      </c>
      <c r="O415" s="106"/>
      <c r="P415" s="106"/>
      <c r="Q415" s="106"/>
      <c r="R415" s="106"/>
      <c r="S415" s="75">
        <f>M415+O415+P415+Q415+R415</f>
        <v>9551</v>
      </c>
      <c r="T415" s="75">
        <f>N415+R415</f>
        <v>0</v>
      </c>
      <c r="U415" s="106"/>
      <c r="V415" s="106"/>
      <c r="W415" s="106"/>
      <c r="X415" s="106"/>
      <c r="Y415" s="106"/>
      <c r="Z415" s="106"/>
      <c r="AA415" s="106"/>
      <c r="AB415" s="75">
        <f>S415+U415+V415+W415+X415+Y415+Z415+AA415</f>
        <v>9551</v>
      </c>
      <c r="AC415" s="75">
        <f>T415+Z415+AA415</f>
        <v>0</v>
      </c>
      <c r="AD415" s="69"/>
      <c r="AE415" s="69"/>
      <c r="AF415" s="69"/>
      <c r="AG415" s="69"/>
      <c r="AH415" s="69"/>
      <c r="AI415" s="75">
        <f>AB415+AD415+AE415+AF415+AG415+AH415</f>
        <v>9551</v>
      </c>
      <c r="AJ415" s="75">
        <f>AC415+AH415</f>
        <v>0</v>
      </c>
      <c r="AK415" s="106"/>
      <c r="AL415" s="75">
        <f>AI415+AK415</f>
        <v>9551</v>
      </c>
      <c r="AM415" s="75">
        <f>AJ415</f>
        <v>0</v>
      </c>
      <c r="AN415" s="106"/>
      <c r="AO415" s="106"/>
      <c r="AP415" s="106"/>
      <c r="AQ415" s="106"/>
      <c r="AR415" s="75">
        <f>AL415+AN415+AO415+AP415+AQ415</f>
        <v>9551</v>
      </c>
      <c r="AS415" s="75">
        <f>AM415+AQ415</f>
        <v>0</v>
      </c>
      <c r="AT415" s="108"/>
      <c r="AU415" s="108"/>
      <c r="AV415" s="108"/>
      <c r="AW415" s="76">
        <f>AV415+AU415+AT415+AR415</f>
        <v>9551</v>
      </c>
      <c r="AX415" s="76">
        <f>AV415+AS415</f>
        <v>0</v>
      </c>
      <c r="AY415" s="69"/>
      <c r="AZ415" s="69"/>
      <c r="BA415" s="69"/>
      <c r="BB415" s="69"/>
      <c r="BC415" s="69"/>
      <c r="BD415" s="75">
        <f>AW415+AY415+AZ415+BA415+BB415+BC415</f>
        <v>9551</v>
      </c>
      <c r="BE415" s="75">
        <f>AX415+BC415</f>
        <v>0</v>
      </c>
      <c r="BF415" s="106"/>
      <c r="BG415" s="106"/>
      <c r="BH415" s="106"/>
      <c r="BI415" s="75">
        <f>BD415+BF415+BG415+BH415</f>
        <v>9551</v>
      </c>
      <c r="BJ415" s="75">
        <f>BE415+BH415</f>
        <v>0</v>
      </c>
      <c r="BK415" s="109"/>
      <c r="BL415" s="109"/>
      <c r="BM415" s="109"/>
      <c r="BN415" s="109"/>
      <c r="BO415" s="75">
        <f>BI415+BK415+BL415+BM415+BN415</f>
        <v>9551</v>
      </c>
      <c r="BP415" s="75">
        <f>BJ415+BN415</f>
        <v>0</v>
      </c>
      <c r="BQ415" s="106"/>
      <c r="BR415" s="106"/>
      <c r="BS415" s="106"/>
      <c r="BT415" s="106"/>
      <c r="BU415" s="75">
        <f>BO415+BQ415+BS415+BT415</f>
        <v>9551</v>
      </c>
      <c r="BV415" s="75">
        <f>BP415+BT415</f>
        <v>0</v>
      </c>
      <c r="BW415" s="75">
        <v>9550</v>
      </c>
      <c r="BX415" s="75">
        <f>BR415+BV415</f>
        <v>0</v>
      </c>
      <c r="BY415" s="77">
        <f t="shared" si="540"/>
        <v>99.98952989215789</v>
      </c>
      <c r="BZ415" s="72"/>
    </row>
    <row r="416" spans="1:78" s="12" customFormat="1" ht="32.25" customHeight="1" hidden="1">
      <c r="A416" s="88" t="s">
        <v>250</v>
      </c>
      <c r="B416" s="89" t="s">
        <v>3</v>
      </c>
      <c r="C416" s="89" t="s">
        <v>132</v>
      </c>
      <c r="D416" s="90" t="s">
        <v>251</v>
      </c>
      <c r="E416" s="89"/>
      <c r="F416" s="75">
        <f aca="true" t="shared" si="553" ref="F416:BQ416">F417</f>
        <v>0</v>
      </c>
      <c r="G416" s="75">
        <f t="shared" si="553"/>
        <v>4158</v>
      </c>
      <c r="H416" s="75">
        <f t="shared" si="553"/>
        <v>4158</v>
      </c>
      <c r="I416" s="75">
        <f t="shared" si="553"/>
        <v>4158</v>
      </c>
      <c r="J416" s="75">
        <f t="shared" si="553"/>
        <v>0</v>
      </c>
      <c r="K416" s="75">
        <f t="shared" si="553"/>
        <v>0</v>
      </c>
      <c r="L416" s="75">
        <f t="shared" si="553"/>
        <v>-3012</v>
      </c>
      <c r="M416" s="75">
        <f t="shared" si="553"/>
        <v>1146</v>
      </c>
      <c r="N416" s="75">
        <f t="shared" si="553"/>
        <v>1146</v>
      </c>
      <c r="O416" s="75">
        <f t="shared" si="553"/>
        <v>0</v>
      </c>
      <c r="P416" s="75"/>
      <c r="Q416" s="75">
        <f t="shared" si="553"/>
        <v>0</v>
      </c>
      <c r="R416" s="75">
        <f t="shared" si="553"/>
        <v>0</v>
      </c>
      <c r="S416" s="75">
        <f t="shared" si="553"/>
        <v>1146</v>
      </c>
      <c r="T416" s="75">
        <f t="shared" si="553"/>
        <v>1146</v>
      </c>
      <c r="U416" s="75">
        <f t="shared" si="553"/>
        <v>0</v>
      </c>
      <c r="V416" s="75">
        <f t="shared" si="553"/>
        <v>0</v>
      </c>
      <c r="W416" s="75">
        <f t="shared" si="553"/>
        <v>0</v>
      </c>
      <c r="X416" s="75">
        <f t="shared" si="553"/>
        <v>0</v>
      </c>
      <c r="Y416" s="75">
        <f t="shared" si="553"/>
        <v>0</v>
      </c>
      <c r="Z416" s="75">
        <f t="shared" si="553"/>
        <v>0</v>
      </c>
      <c r="AA416" s="75">
        <f t="shared" si="553"/>
        <v>0</v>
      </c>
      <c r="AB416" s="75">
        <f t="shared" si="553"/>
        <v>1146</v>
      </c>
      <c r="AC416" s="75">
        <f t="shared" si="553"/>
        <v>1146</v>
      </c>
      <c r="AD416" s="75">
        <f t="shared" si="553"/>
        <v>0</v>
      </c>
      <c r="AE416" s="75">
        <f t="shared" si="553"/>
        <v>0</v>
      </c>
      <c r="AF416" s="75">
        <f t="shared" si="553"/>
        <v>0</v>
      </c>
      <c r="AG416" s="75">
        <f t="shared" si="553"/>
        <v>0</v>
      </c>
      <c r="AH416" s="75">
        <f t="shared" si="553"/>
        <v>0</v>
      </c>
      <c r="AI416" s="75">
        <f t="shared" si="553"/>
        <v>1146</v>
      </c>
      <c r="AJ416" s="75">
        <f t="shared" si="553"/>
        <v>1146</v>
      </c>
      <c r="AK416" s="75">
        <f t="shared" si="553"/>
        <v>0</v>
      </c>
      <c r="AL416" s="75">
        <f t="shared" si="553"/>
        <v>1146</v>
      </c>
      <c r="AM416" s="75">
        <f t="shared" si="553"/>
        <v>1146</v>
      </c>
      <c r="AN416" s="75">
        <f t="shared" si="553"/>
        <v>0</v>
      </c>
      <c r="AO416" s="75">
        <f t="shared" si="553"/>
        <v>0</v>
      </c>
      <c r="AP416" s="75">
        <f t="shared" si="553"/>
        <v>0</v>
      </c>
      <c r="AQ416" s="75">
        <f t="shared" si="553"/>
        <v>0</v>
      </c>
      <c r="AR416" s="75">
        <f t="shared" si="553"/>
        <v>1146</v>
      </c>
      <c r="AS416" s="75">
        <f t="shared" si="553"/>
        <v>1146</v>
      </c>
      <c r="AT416" s="76">
        <f t="shared" si="553"/>
        <v>0</v>
      </c>
      <c r="AU416" s="76">
        <f t="shared" si="553"/>
        <v>0</v>
      </c>
      <c r="AV416" s="76">
        <f t="shared" si="553"/>
        <v>0</v>
      </c>
      <c r="AW416" s="76">
        <f t="shared" si="553"/>
        <v>1146</v>
      </c>
      <c r="AX416" s="76">
        <f t="shared" si="553"/>
        <v>1146</v>
      </c>
      <c r="AY416" s="75">
        <f t="shared" si="553"/>
        <v>0</v>
      </c>
      <c r="AZ416" s="75">
        <f t="shared" si="553"/>
        <v>0</v>
      </c>
      <c r="BA416" s="75">
        <f t="shared" si="553"/>
        <v>0</v>
      </c>
      <c r="BB416" s="75">
        <f t="shared" si="553"/>
        <v>0</v>
      </c>
      <c r="BC416" s="75">
        <f t="shared" si="553"/>
        <v>0</v>
      </c>
      <c r="BD416" s="75">
        <f t="shared" si="553"/>
        <v>1146</v>
      </c>
      <c r="BE416" s="75">
        <f t="shared" si="553"/>
        <v>1146</v>
      </c>
      <c r="BF416" s="75">
        <f t="shared" si="553"/>
        <v>0</v>
      </c>
      <c r="BG416" s="75">
        <f t="shared" si="553"/>
        <v>0</v>
      </c>
      <c r="BH416" s="75">
        <f t="shared" si="553"/>
        <v>0</v>
      </c>
      <c r="BI416" s="75">
        <f t="shared" si="553"/>
        <v>1146</v>
      </c>
      <c r="BJ416" s="75">
        <f t="shared" si="553"/>
        <v>1146</v>
      </c>
      <c r="BK416" s="75">
        <f t="shared" si="553"/>
        <v>0</v>
      </c>
      <c r="BL416" s="75">
        <f t="shared" si="553"/>
        <v>0</v>
      </c>
      <c r="BM416" s="75">
        <f t="shared" si="553"/>
        <v>0</v>
      </c>
      <c r="BN416" s="75">
        <f t="shared" si="553"/>
        <v>0</v>
      </c>
      <c r="BO416" s="75">
        <f t="shared" si="553"/>
        <v>1146</v>
      </c>
      <c r="BP416" s="75">
        <f t="shared" si="553"/>
        <v>1146</v>
      </c>
      <c r="BQ416" s="75">
        <f t="shared" si="553"/>
        <v>0</v>
      </c>
      <c r="BR416" s="75"/>
      <c r="BS416" s="75">
        <f aca="true" t="shared" si="554" ref="BS416:BX416">BS417</f>
        <v>0</v>
      </c>
      <c r="BT416" s="75">
        <f t="shared" si="554"/>
        <v>0</v>
      </c>
      <c r="BU416" s="75">
        <f t="shared" si="554"/>
        <v>1146</v>
      </c>
      <c r="BV416" s="75">
        <f t="shared" si="554"/>
        <v>1146</v>
      </c>
      <c r="BW416" s="75">
        <f t="shared" si="554"/>
        <v>1145</v>
      </c>
      <c r="BX416" s="75">
        <f t="shared" si="554"/>
        <v>1145</v>
      </c>
      <c r="BY416" s="77">
        <f t="shared" si="540"/>
        <v>99.91273996509598</v>
      </c>
      <c r="BZ416" s="77">
        <f t="shared" si="540"/>
        <v>99.91273996509598</v>
      </c>
    </row>
    <row r="417" spans="1:78" s="12" customFormat="1" ht="17.25" customHeight="1" hidden="1">
      <c r="A417" s="88" t="s">
        <v>11</v>
      </c>
      <c r="B417" s="89" t="s">
        <v>3</v>
      </c>
      <c r="C417" s="89" t="s">
        <v>132</v>
      </c>
      <c r="D417" s="90" t="s">
        <v>251</v>
      </c>
      <c r="E417" s="89" t="s">
        <v>18</v>
      </c>
      <c r="F417" s="75"/>
      <c r="G417" s="75">
        <f>H417-F417</f>
        <v>4158</v>
      </c>
      <c r="H417" s="75">
        <v>4158</v>
      </c>
      <c r="I417" s="75">
        <v>4158</v>
      </c>
      <c r="J417" s="106"/>
      <c r="K417" s="106"/>
      <c r="L417" s="75">
        <v>-3012</v>
      </c>
      <c r="M417" s="75">
        <f>H417+J417+K417+L417</f>
        <v>1146</v>
      </c>
      <c r="N417" s="75">
        <f>I417+L417</f>
        <v>1146</v>
      </c>
      <c r="O417" s="106"/>
      <c r="P417" s="106"/>
      <c r="Q417" s="106"/>
      <c r="R417" s="106"/>
      <c r="S417" s="75">
        <f>M417+O417+P417+Q417+R417</f>
        <v>1146</v>
      </c>
      <c r="T417" s="75">
        <f>N417+R417</f>
        <v>1146</v>
      </c>
      <c r="U417" s="106"/>
      <c r="V417" s="106"/>
      <c r="W417" s="106"/>
      <c r="X417" s="106"/>
      <c r="Y417" s="106"/>
      <c r="Z417" s="106"/>
      <c r="AA417" s="106"/>
      <c r="AB417" s="75">
        <f>S417+U417+V417+W417+X417+Y417+Z417+AA417</f>
        <v>1146</v>
      </c>
      <c r="AC417" s="75">
        <f>T417+Z417+AA417</f>
        <v>1146</v>
      </c>
      <c r="AD417" s="69"/>
      <c r="AE417" s="69"/>
      <c r="AF417" s="69"/>
      <c r="AG417" s="69"/>
      <c r="AH417" s="69"/>
      <c r="AI417" s="75">
        <f>AB417+AD417+AE417+AF417+AG417+AH417</f>
        <v>1146</v>
      </c>
      <c r="AJ417" s="75">
        <f>AC417+AH417</f>
        <v>1146</v>
      </c>
      <c r="AK417" s="106"/>
      <c r="AL417" s="75">
        <f>AI417+AK417</f>
        <v>1146</v>
      </c>
      <c r="AM417" s="75">
        <f>AJ417</f>
        <v>1146</v>
      </c>
      <c r="AN417" s="106"/>
      <c r="AO417" s="106"/>
      <c r="AP417" s="106"/>
      <c r="AQ417" s="106"/>
      <c r="AR417" s="75">
        <f>AL417+AN417+AO417+AP417+AQ417</f>
        <v>1146</v>
      </c>
      <c r="AS417" s="75">
        <f>AM417+AQ417</f>
        <v>1146</v>
      </c>
      <c r="AT417" s="108"/>
      <c r="AU417" s="108"/>
      <c r="AV417" s="108"/>
      <c r="AW417" s="76">
        <f>AV417+AU417+AT417+AR417</f>
        <v>1146</v>
      </c>
      <c r="AX417" s="76">
        <f>AV417+AS417</f>
        <v>1146</v>
      </c>
      <c r="AY417" s="69"/>
      <c r="AZ417" s="69"/>
      <c r="BA417" s="69"/>
      <c r="BB417" s="69"/>
      <c r="BC417" s="69"/>
      <c r="BD417" s="75">
        <f>AW417+AY417+AZ417+BA417+BB417+BC417</f>
        <v>1146</v>
      </c>
      <c r="BE417" s="75">
        <f>AX417+BC417</f>
        <v>1146</v>
      </c>
      <c r="BF417" s="106"/>
      <c r="BG417" s="106"/>
      <c r="BH417" s="106"/>
      <c r="BI417" s="75">
        <f>BD417+BF417+BG417+BH417</f>
        <v>1146</v>
      </c>
      <c r="BJ417" s="75">
        <f>BE417+BH417</f>
        <v>1146</v>
      </c>
      <c r="BK417" s="109"/>
      <c r="BL417" s="109"/>
      <c r="BM417" s="109"/>
      <c r="BN417" s="109"/>
      <c r="BO417" s="75">
        <f>BI417+BK417+BL417+BM417+BN417</f>
        <v>1146</v>
      </c>
      <c r="BP417" s="75">
        <f>BJ417+BN417</f>
        <v>1146</v>
      </c>
      <c r="BQ417" s="106"/>
      <c r="BR417" s="106"/>
      <c r="BS417" s="106"/>
      <c r="BT417" s="106"/>
      <c r="BU417" s="75">
        <f>BO417+BQ417+BS417+BT417</f>
        <v>1146</v>
      </c>
      <c r="BV417" s="75">
        <f>BP417+BT417</f>
        <v>1146</v>
      </c>
      <c r="BW417" s="75">
        <v>1145</v>
      </c>
      <c r="BX417" s="75">
        <v>1145</v>
      </c>
      <c r="BY417" s="77">
        <f t="shared" si="540"/>
        <v>99.91273996509598</v>
      </c>
      <c r="BZ417" s="77">
        <f t="shared" si="540"/>
        <v>99.91273996509598</v>
      </c>
    </row>
    <row r="418" spans="1:78" s="12" customFormat="1" ht="239.25" customHeight="1" hidden="1">
      <c r="A418" s="182" t="s">
        <v>351</v>
      </c>
      <c r="B418" s="89" t="s">
        <v>3</v>
      </c>
      <c r="C418" s="89" t="s">
        <v>132</v>
      </c>
      <c r="D418" s="90" t="s">
        <v>262</v>
      </c>
      <c r="E418" s="89"/>
      <c r="F418" s="75">
        <f aca="true" t="shared" si="555" ref="F418:AX418">F419</f>
        <v>0</v>
      </c>
      <c r="G418" s="75">
        <f t="shared" si="555"/>
        <v>4291</v>
      </c>
      <c r="H418" s="75">
        <f t="shared" si="555"/>
        <v>4291</v>
      </c>
      <c r="I418" s="75">
        <f t="shared" si="555"/>
        <v>4291</v>
      </c>
      <c r="J418" s="75">
        <f t="shared" si="555"/>
        <v>0</v>
      </c>
      <c r="K418" s="75">
        <f t="shared" si="555"/>
        <v>0</v>
      </c>
      <c r="L418" s="75">
        <f t="shared" si="555"/>
        <v>402</v>
      </c>
      <c r="M418" s="75">
        <f t="shared" si="555"/>
        <v>4693</v>
      </c>
      <c r="N418" s="75">
        <f t="shared" si="555"/>
        <v>4693</v>
      </c>
      <c r="O418" s="75">
        <f t="shared" si="555"/>
        <v>0</v>
      </c>
      <c r="P418" s="75"/>
      <c r="Q418" s="75">
        <f t="shared" si="555"/>
        <v>0</v>
      </c>
      <c r="R418" s="75">
        <f t="shared" si="555"/>
        <v>0</v>
      </c>
      <c r="S418" s="75">
        <f t="shared" si="555"/>
        <v>4693</v>
      </c>
      <c r="T418" s="75">
        <f t="shared" si="555"/>
        <v>4693</v>
      </c>
      <c r="U418" s="75">
        <f t="shared" si="555"/>
        <v>0</v>
      </c>
      <c r="V418" s="75">
        <f t="shared" si="555"/>
        <v>0</v>
      </c>
      <c r="W418" s="75">
        <f t="shared" si="555"/>
        <v>0</v>
      </c>
      <c r="X418" s="75">
        <f t="shared" si="555"/>
        <v>0</v>
      </c>
      <c r="Y418" s="75">
        <f t="shared" si="555"/>
        <v>0</v>
      </c>
      <c r="Z418" s="75">
        <f t="shared" si="555"/>
        <v>0</v>
      </c>
      <c r="AA418" s="75">
        <f t="shared" si="555"/>
        <v>0</v>
      </c>
      <c r="AB418" s="75">
        <f t="shared" si="555"/>
        <v>4693</v>
      </c>
      <c r="AC418" s="75">
        <f t="shared" si="555"/>
        <v>4693</v>
      </c>
      <c r="AD418" s="75">
        <f t="shared" si="555"/>
        <v>0</v>
      </c>
      <c r="AE418" s="75">
        <f t="shared" si="555"/>
        <v>0</v>
      </c>
      <c r="AF418" s="75">
        <f t="shared" si="555"/>
        <v>0</v>
      </c>
      <c r="AG418" s="75">
        <f t="shared" si="555"/>
        <v>0</v>
      </c>
      <c r="AH418" s="75">
        <f t="shared" si="555"/>
        <v>0</v>
      </c>
      <c r="AI418" s="75">
        <f t="shared" si="555"/>
        <v>4693</v>
      </c>
      <c r="AJ418" s="75">
        <f t="shared" si="555"/>
        <v>4693</v>
      </c>
      <c r="AK418" s="75">
        <f t="shared" si="555"/>
        <v>0</v>
      </c>
      <c r="AL418" s="75">
        <f t="shared" si="555"/>
        <v>4693</v>
      </c>
      <c r="AM418" s="75">
        <f t="shared" si="555"/>
        <v>4693</v>
      </c>
      <c r="AN418" s="75">
        <f t="shared" si="555"/>
        <v>0</v>
      </c>
      <c r="AO418" s="75">
        <f t="shared" si="555"/>
        <v>0</v>
      </c>
      <c r="AP418" s="75">
        <f t="shared" si="555"/>
        <v>0</v>
      </c>
      <c r="AQ418" s="75">
        <f t="shared" si="555"/>
        <v>12402</v>
      </c>
      <c r="AR418" s="75">
        <f t="shared" si="555"/>
        <v>17095</v>
      </c>
      <c r="AS418" s="75">
        <f t="shared" si="555"/>
        <v>17095</v>
      </c>
      <c r="AT418" s="76">
        <f t="shared" si="555"/>
        <v>0</v>
      </c>
      <c r="AU418" s="76">
        <f t="shared" si="555"/>
        <v>0</v>
      </c>
      <c r="AV418" s="76">
        <f t="shared" si="555"/>
        <v>0</v>
      </c>
      <c r="AW418" s="76">
        <f t="shared" si="555"/>
        <v>17095</v>
      </c>
      <c r="AX418" s="76">
        <f t="shared" si="555"/>
        <v>17095</v>
      </c>
      <c r="AY418" s="75">
        <f aca="true" t="shared" si="556" ref="AY418:BV418">AY419+AY420+AY422</f>
        <v>0</v>
      </c>
      <c r="AZ418" s="75">
        <f t="shared" si="556"/>
        <v>0</v>
      </c>
      <c r="BA418" s="75">
        <f t="shared" si="556"/>
        <v>0</v>
      </c>
      <c r="BB418" s="75">
        <f t="shared" si="556"/>
        <v>0</v>
      </c>
      <c r="BC418" s="75">
        <f t="shared" si="556"/>
        <v>44854</v>
      </c>
      <c r="BD418" s="75">
        <f t="shared" si="556"/>
        <v>61949</v>
      </c>
      <c r="BE418" s="75">
        <f t="shared" si="556"/>
        <v>61949</v>
      </c>
      <c r="BF418" s="75">
        <f t="shared" si="556"/>
        <v>0</v>
      </c>
      <c r="BG418" s="75">
        <f t="shared" si="556"/>
        <v>0</v>
      </c>
      <c r="BH418" s="75">
        <f t="shared" si="556"/>
        <v>0</v>
      </c>
      <c r="BI418" s="75">
        <f t="shared" si="556"/>
        <v>61949</v>
      </c>
      <c r="BJ418" s="75">
        <f t="shared" si="556"/>
        <v>61949</v>
      </c>
      <c r="BK418" s="75">
        <f t="shared" si="556"/>
        <v>0</v>
      </c>
      <c r="BL418" s="75">
        <f t="shared" si="556"/>
        <v>0</v>
      </c>
      <c r="BM418" s="75">
        <f t="shared" si="556"/>
        <v>0</v>
      </c>
      <c r="BN418" s="75">
        <f t="shared" si="556"/>
        <v>0</v>
      </c>
      <c r="BO418" s="75">
        <f t="shared" si="556"/>
        <v>61949</v>
      </c>
      <c r="BP418" s="75">
        <f t="shared" si="556"/>
        <v>61949</v>
      </c>
      <c r="BQ418" s="75">
        <f t="shared" si="556"/>
        <v>0</v>
      </c>
      <c r="BR418" s="75"/>
      <c r="BS418" s="75">
        <f t="shared" si="556"/>
        <v>0</v>
      </c>
      <c r="BT418" s="75">
        <f t="shared" si="556"/>
        <v>0</v>
      </c>
      <c r="BU418" s="75">
        <f t="shared" si="556"/>
        <v>61949</v>
      </c>
      <c r="BV418" s="75">
        <f t="shared" si="556"/>
        <v>61949</v>
      </c>
      <c r="BW418" s="75">
        <f>BW419+BW420+BW422</f>
        <v>55526</v>
      </c>
      <c r="BX418" s="75">
        <f>BX419+BX420+BX422</f>
        <v>55526</v>
      </c>
      <c r="BY418" s="77">
        <f t="shared" si="540"/>
        <v>89.63179389497813</v>
      </c>
      <c r="BZ418" s="77">
        <f t="shared" si="540"/>
        <v>89.63179389497813</v>
      </c>
    </row>
    <row r="419" spans="1:78" s="12" customFormat="1" ht="27" customHeight="1" hidden="1">
      <c r="A419" s="88" t="s">
        <v>11</v>
      </c>
      <c r="B419" s="89" t="s">
        <v>3</v>
      </c>
      <c r="C419" s="89" t="s">
        <v>132</v>
      </c>
      <c r="D419" s="90" t="s">
        <v>262</v>
      </c>
      <c r="E419" s="89" t="s">
        <v>18</v>
      </c>
      <c r="F419" s="75"/>
      <c r="G419" s="75">
        <f>H419-F419</f>
        <v>4291</v>
      </c>
      <c r="H419" s="75">
        <v>4291</v>
      </c>
      <c r="I419" s="75">
        <v>4291</v>
      </c>
      <c r="J419" s="106"/>
      <c r="K419" s="106"/>
      <c r="L419" s="78">
        <v>402</v>
      </c>
      <c r="M419" s="75">
        <f>H419+J419+K419+L419</f>
        <v>4693</v>
      </c>
      <c r="N419" s="75">
        <f>I419+L419</f>
        <v>4693</v>
      </c>
      <c r="O419" s="106"/>
      <c r="P419" s="106"/>
      <c r="Q419" s="106"/>
      <c r="R419" s="106"/>
      <c r="S419" s="75">
        <f>M419+O419+P419+Q419+R419</f>
        <v>4693</v>
      </c>
      <c r="T419" s="75">
        <f>N419+R419</f>
        <v>4693</v>
      </c>
      <c r="U419" s="106"/>
      <c r="V419" s="106"/>
      <c r="W419" s="106"/>
      <c r="X419" s="106"/>
      <c r="Y419" s="106"/>
      <c r="Z419" s="106"/>
      <c r="AA419" s="106"/>
      <c r="AB419" s="75">
        <f>S419+U419+V419+W419+X419+Y419+Z419+AA419</f>
        <v>4693</v>
      </c>
      <c r="AC419" s="75">
        <f>T419+Z419+AA419</f>
        <v>4693</v>
      </c>
      <c r="AD419" s="69"/>
      <c r="AE419" s="69"/>
      <c r="AF419" s="69"/>
      <c r="AG419" s="69"/>
      <c r="AH419" s="69"/>
      <c r="AI419" s="75">
        <f>AB419+AD419+AE419+AF419+AG419+AH419</f>
        <v>4693</v>
      </c>
      <c r="AJ419" s="75">
        <f>AC419+AH419</f>
        <v>4693</v>
      </c>
      <c r="AK419" s="106"/>
      <c r="AL419" s="75">
        <f>AI419+AK419</f>
        <v>4693</v>
      </c>
      <c r="AM419" s="75">
        <f>AJ419</f>
        <v>4693</v>
      </c>
      <c r="AN419" s="106"/>
      <c r="AO419" s="106"/>
      <c r="AP419" s="106"/>
      <c r="AQ419" s="75">
        <v>12402</v>
      </c>
      <c r="AR419" s="75">
        <f>AL419+AN419+AO419+AP419+AQ419</f>
        <v>17095</v>
      </c>
      <c r="AS419" s="75">
        <f>AM419+AQ419</f>
        <v>17095</v>
      </c>
      <c r="AT419" s="76"/>
      <c r="AU419" s="76"/>
      <c r="AV419" s="76"/>
      <c r="AW419" s="76">
        <f>AV419+AU419+AT419+AR419</f>
        <v>17095</v>
      </c>
      <c r="AX419" s="76">
        <f>AV419+AS419</f>
        <v>17095</v>
      </c>
      <c r="AY419" s="69"/>
      <c r="AZ419" s="69"/>
      <c r="BA419" s="69"/>
      <c r="BB419" s="69"/>
      <c r="BC419" s="75">
        <v>-12402</v>
      </c>
      <c r="BD419" s="75">
        <f>AW419+AY419+AZ419+BA419+BB419+BC419</f>
        <v>4693</v>
      </c>
      <c r="BE419" s="75">
        <f>AX419+BC419</f>
        <v>4693</v>
      </c>
      <c r="BF419" s="106"/>
      <c r="BG419" s="106"/>
      <c r="BH419" s="106"/>
      <c r="BI419" s="75">
        <f>BD419+BF419+BG419+BH419</f>
        <v>4693</v>
      </c>
      <c r="BJ419" s="75">
        <f>BE419+BH419</f>
        <v>4693</v>
      </c>
      <c r="BK419" s="109"/>
      <c r="BL419" s="109"/>
      <c r="BM419" s="109"/>
      <c r="BN419" s="109"/>
      <c r="BO419" s="75">
        <f>BI419+BK419+BL419+BM419+BN419</f>
        <v>4693</v>
      </c>
      <c r="BP419" s="75">
        <f>BJ419+BN419</f>
        <v>4693</v>
      </c>
      <c r="BQ419" s="106"/>
      <c r="BR419" s="106"/>
      <c r="BS419" s="106"/>
      <c r="BT419" s="75">
        <v>-4693</v>
      </c>
      <c r="BU419" s="75">
        <f>BO419+BQ419+BS419+BT419</f>
        <v>0</v>
      </c>
      <c r="BV419" s="75">
        <f>BP419+BT419</f>
        <v>0</v>
      </c>
      <c r="BW419" s="75">
        <f>BQ419+BS419+BU419+BV419</f>
        <v>0</v>
      </c>
      <c r="BX419" s="75">
        <f>BR419+BV419</f>
        <v>0</v>
      </c>
      <c r="BY419" s="77" t="e">
        <f t="shared" si="540"/>
        <v>#DIV/0!</v>
      </c>
      <c r="BZ419" s="77" t="e">
        <f t="shared" si="540"/>
        <v>#DIV/0!</v>
      </c>
    </row>
    <row r="420" spans="1:78" s="12" customFormat="1" ht="132.75" customHeight="1" hidden="1">
      <c r="A420" s="183" t="s">
        <v>367</v>
      </c>
      <c r="B420" s="89" t="s">
        <v>3</v>
      </c>
      <c r="C420" s="89" t="s">
        <v>132</v>
      </c>
      <c r="D420" s="90" t="s">
        <v>345</v>
      </c>
      <c r="E420" s="89"/>
      <c r="F420" s="75"/>
      <c r="G420" s="75"/>
      <c r="H420" s="75"/>
      <c r="I420" s="75"/>
      <c r="J420" s="106"/>
      <c r="K420" s="106"/>
      <c r="L420" s="78"/>
      <c r="M420" s="75"/>
      <c r="N420" s="75"/>
      <c r="O420" s="106"/>
      <c r="P420" s="106"/>
      <c r="Q420" s="106"/>
      <c r="R420" s="106"/>
      <c r="S420" s="75"/>
      <c r="T420" s="75"/>
      <c r="U420" s="106"/>
      <c r="V420" s="106"/>
      <c r="W420" s="106"/>
      <c r="X420" s="106"/>
      <c r="Y420" s="106"/>
      <c r="Z420" s="106"/>
      <c r="AA420" s="106"/>
      <c r="AB420" s="75"/>
      <c r="AC420" s="75"/>
      <c r="AD420" s="69"/>
      <c r="AE420" s="69"/>
      <c r="AF420" s="69"/>
      <c r="AG420" s="69"/>
      <c r="AH420" s="69"/>
      <c r="AI420" s="75"/>
      <c r="AJ420" s="75"/>
      <c r="AK420" s="106"/>
      <c r="AL420" s="75"/>
      <c r="AM420" s="75"/>
      <c r="AN420" s="106"/>
      <c r="AO420" s="106"/>
      <c r="AP420" s="106"/>
      <c r="AQ420" s="75"/>
      <c r="AR420" s="75"/>
      <c r="AS420" s="75"/>
      <c r="AT420" s="76"/>
      <c r="AU420" s="76"/>
      <c r="AV420" s="76"/>
      <c r="AW420" s="76"/>
      <c r="AX420" s="76"/>
      <c r="AY420" s="69">
        <f aca="true" t="shared" si="557" ref="AY420:BX420">AY421</f>
        <v>0</v>
      </c>
      <c r="AZ420" s="69">
        <f t="shared" si="557"/>
        <v>0</v>
      </c>
      <c r="BA420" s="69">
        <f t="shared" si="557"/>
        <v>0</v>
      </c>
      <c r="BB420" s="69">
        <f t="shared" si="557"/>
        <v>0</v>
      </c>
      <c r="BC420" s="75">
        <f t="shared" si="557"/>
        <v>53010</v>
      </c>
      <c r="BD420" s="75">
        <f t="shared" si="557"/>
        <v>53010</v>
      </c>
      <c r="BE420" s="75">
        <f t="shared" si="557"/>
        <v>53010</v>
      </c>
      <c r="BF420" s="75">
        <f t="shared" si="557"/>
        <v>0</v>
      </c>
      <c r="BG420" s="75">
        <f t="shared" si="557"/>
        <v>0</v>
      </c>
      <c r="BH420" s="75">
        <f t="shared" si="557"/>
        <v>0</v>
      </c>
      <c r="BI420" s="75">
        <f t="shared" si="557"/>
        <v>53010</v>
      </c>
      <c r="BJ420" s="75">
        <f t="shared" si="557"/>
        <v>53010</v>
      </c>
      <c r="BK420" s="75">
        <f t="shared" si="557"/>
        <v>0</v>
      </c>
      <c r="BL420" s="75">
        <f t="shared" si="557"/>
        <v>0</v>
      </c>
      <c r="BM420" s="75">
        <f t="shared" si="557"/>
        <v>0</v>
      </c>
      <c r="BN420" s="75">
        <f t="shared" si="557"/>
        <v>0</v>
      </c>
      <c r="BO420" s="75">
        <f t="shared" si="557"/>
        <v>53010</v>
      </c>
      <c r="BP420" s="75">
        <f t="shared" si="557"/>
        <v>53010</v>
      </c>
      <c r="BQ420" s="75">
        <f t="shared" si="557"/>
        <v>0</v>
      </c>
      <c r="BR420" s="75"/>
      <c r="BS420" s="75">
        <f t="shared" si="557"/>
        <v>0</v>
      </c>
      <c r="BT420" s="75">
        <f t="shared" si="557"/>
        <v>0</v>
      </c>
      <c r="BU420" s="75">
        <f t="shared" si="557"/>
        <v>53010</v>
      </c>
      <c r="BV420" s="75">
        <f t="shared" si="557"/>
        <v>53010</v>
      </c>
      <c r="BW420" s="75">
        <f t="shared" si="557"/>
        <v>46649</v>
      </c>
      <c r="BX420" s="75">
        <f t="shared" si="557"/>
        <v>46649</v>
      </c>
      <c r="BY420" s="77">
        <f t="shared" si="540"/>
        <v>88.00037728730427</v>
      </c>
      <c r="BZ420" s="77">
        <f t="shared" si="540"/>
        <v>88.00037728730427</v>
      </c>
    </row>
    <row r="421" spans="1:78" s="12" customFormat="1" ht="30" customHeight="1" hidden="1">
      <c r="A421" s="88" t="s">
        <v>11</v>
      </c>
      <c r="B421" s="89" t="s">
        <v>3</v>
      </c>
      <c r="C421" s="89" t="s">
        <v>132</v>
      </c>
      <c r="D421" s="90" t="s">
        <v>345</v>
      </c>
      <c r="E421" s="89" t="s">
        <v>18</v>
      </c>
      <c r="F421" s="75"/>
      <c r="G421" s="75"/>
      <c r="H421" s="75"/>
      <c r="I421" s="75"/>
      <c r="J421" s="106"/>
      <c r="K421" s="106"/>
      <c r="L421" s="78"/>
      <c r="M421" s="75"/>
      <c r="N421" s="75"/>
      <c r="O421" s="106"/>
      <c r="P421" s="106"/>
      <c r="Q421" s="106"/>
      <c r="R421" s="106"/>
      <c r="S421" s="75"/>
      <c r="T421" s="75"/>
      <c r="U421" s="106"/>
      <c r="V421" s="106"/>
      <c r="W421" s="106"/>
      <c r="X421" s="106"/>
      <c r="Y421" s="106"/>
      <c r="Z421" s="106"/>
      <c r="AA421" s="106"/>
      <c r="AB421" s="75"/>
      <c r="AC421" s="75"/>
      <c r="AD421" s="69"/>
      <c r="AE421" s="69"/>
      <c r="AF421" s="69"/>
      <c r="AG421" s="69"/>
      <c r="AH421" s="69"/>
      <c r="AI421" s="75"/>
      <c r="AJ421" s="75"/>
      <c r="AK421" s="106"/>
      <c r="AL421" s="75"/>
      <c r="AM421" s="75"/>
      <c r="AN421" s="106"/>
      <c r="AO421" s="106"/>
      <c r="AP421" s="106"/>
      <c r="AQ421" s="75"/>
      <c r="AR421" s="75"/>
      <c r="AS421" s="75"/>
      <c r="AT421" s="76"/>
      <c r="AU421" s="76"/>
      <c r="AV421" s="76"/>
      <c r="AW421" s="76"/>
      <c r="AX421" s="76"/>
      <c r="AY421" s="69"/>
      <c r="AZ421" s="69"/>
      <c r="BA421" s="69"/>
      <c r="BB421" s="69"/>
      <c r="BC421" s="75">
        <v>53010</v>
      </c>
      <c r="BD421" s="75">
        <f>AW421+AY421+AZ421+BA421+BB421+BC421</f>
        <v>53010</v>
      </c>
      <c r="BE421" s="75">
        <f>AX421+BC421</f>
        <v>53010</v>
      </c>
      <c r="BF421" s="106"/>
      <c r="BG421" s="106"/>
      <c r="BH421" s="106"/>
      <c r="BI421" s="75">
        <f>BD421+BF421+BG421+BH421</f>
        <v>53010</v>
      </c>
      <c r="BJ421" s="75">
        <f>BE421+BH421</f>
        <v>53010</v>
      </c>
      <c r="BK421" s="109"/>
      <c r="BL421" s="109"/>
      <c r="BM421" s="109"/>
      <c r="BN421" s="109"/>
      <c r="BO421" s="75">
        <f>BI421+BK421+BL421+BM421+BN421</f>
        <v>53010</v>
      </c>
      <c r="BP421" s="75">
        <f>BJ421+BN421</f>
        <v>53010</v>
      </c>
      <c r="BQ421" s="106"/>
      <c r="BR421" s="106"/>
      <c r="BS421" s="106"/>
      <c r="BT421" s="106"/>
      <c r="BU421" s="75">
        <f>BO421+BQ421+BS421+BT421</f>
        <v>53010</v>
      </c>
      <c r="BV421" s="75">
        <f>BP421+BT421</f>
        <v>53010</v>
      </c>
      <c r="BW421" s="75">
        <v>46649</v>
      </c>
      <c r="BX421" s="75">
        <v>46649</v>
      </c>
      <c r="BY421" s="77">
        <f t="shared" si="540"/>
        <v>88.00037728730427</v>
      </c>
      <c r="BZ421" s="77">
        <f t="shared" si="540"/>
        <v>88.00037728730427</v>
      </c>
    </row>
    <row r="422" spans="1:78" s="12" customFormat="1" ht="99" customHeight="1" hidden="1">
      <c r="A422" s="88" t="s">
        <v>366</v>
      </c>
      <c r="B422" s="89" t="s">
        <v>3</v>
      </c>
      <c r="C422" s="89" t="s">
        <v>132</v>
      </c>
      <c r="D422" s="90" t="s">
        <v>346</v>
      </c>
      <c r="E422" s="89"/>
      <c r="F422" s="75"/>
      <c r="G422" s="75"/>
      <c r="H422" s="75"/>
      <c r="I422" s="75"/>
      <c r="J422" s="106"/>
      <c r="K422" s="106"/>
      <c r="L422" s="78"/>
      <c r="M422" s="75"/>
      <c r="N422" s="75"/>
      <c r="O422" s="106"/>
      <c r="P422" s="106"/>
      <c r="Q422" s="106"/>
      <c r="R422" s="106"/>
      <c r="S422" s="75"/>
      <c r="T422" s="75"/>
      <c r="U422" s="106"/>
      <c r="V422" s="106"/>
      <c r="W422" s="106"/>
      <c r="X422" s="106"/>
      <c r="Y422" s="106"/>
      <c r="Z422" s="106"/>
      <c r="AA422" s="106"/>
      <c r="AB422" s="75"/>
      <c r="AC422" s="75"/>
      <c r="AD422" s="69"/>
      <c r="AE422" s="69"/>
      <c r="AF422" s="69"/>
      <c r="AG422" s="69"/>
      <c r="AH422" s="69"/>
      <c r="AI422" s="75"/>
      <c r="AJ422" s="75"/>
      <c r="AK422" s="106"/>
      <c r="AL422" s="75"/>
      <c r="AM422" s="75"/>
      <c r="AN422" s="106"/>
      <c r="AO422" s="106"/>
      <c r="AP422" s="106"/>
      <c r="AQ422" s="75"/>
      <c r="AR422" s="75"/>
      <c r="AS422" s="75"/>
      <c r="AT422" s="76"/>
      <c r="AU422" s="76"/>
      <c r="AV422" s="76"/>
      <c r="AW422" s="76"/>
      <c r="AX422" s="76"/>
      <c r="AY422" s="69">
        <f aca="true" t="shared" si="558" ref="AY422:BX422">AY423</f>
        <v>0</v>
      </c>
      <c r="AZ422" s="69">
        <f t="shared" si="558"/>
        <v>0</v>
      </c>
      <c r="BA422" s="69">
        <f t="shared" si="558"/>
        <v>0</v>
      </c>
      <c r="BB422" s="69">
        <f t="shared" si="558"/>
        <v>0</v>
      </c>
      <c r="BC422" s="75">
        <f t="shared" si="558"/>
        <v>4246</v>
      </c>
      <c r="BD422" s="75">
        <f t="shared" si="558"/>
        <v>4246</v>
      </c>
      <c r="BE422" s="75">
        <f t="shared" si="558"/>
        <v>4246</v>
      </c>
      <c r="BF422" s="75">
        <f t="shared" si="558"/>
        <v>0</v>
      </c>
      <c r="BG422" s="75">
        <f t="shared" si="558"/>
        <v>0</v>
      </c>
      <c r="BH422" s="75">
        <f t="shared" si="558"/>
        <v>0</v>
      </c>
      <c r="BI422" s="75">
        <f t="shared" si="558"/>
        <v>4246</v>
      </c>
      <c r="BJ422" s="75">
        <f t="shared" si="558"/>
        <v>4246</v>
      </c>
      <c r="BK422" s="75">
        <f t="shared" si="558"/>
        <v>0</v>
      </c>
      <c r="BL422" s="75">
        <f t="shared" si="558"/>
        <v>0</v>
      </c>
      <c r="BM422" s="75">
        <f t="shared" si="558"/>
        <v>0</v>
      </c>
      <c r="BN422" s="75">
        <f t="shared" si="558"/>
        <v>0</v>
      </c>
      <c r="BO422" s="75">
        <f t="shared" si="558"/>
        <v>4246</v>
      </c>
      <c r="BP422" s="75">
        <f t="shared" si="558"/>
        <v>4246</v>
      </c>
      <c r="BQ422" s="75">
        <f t="shared" si="558"/>
        <v>0</v>
      </c>
      <c r="BR422" s="75"/>
      <c r="BS422" s="75">
        <f t="shared" si="558"/>
        <v>0</v>
      </c>
      <c r="BT422" s="75">
        <f t="shared" si="558"/>
        <v>4693</v>
      </c>
      <c r="BU422" s="75">
        <f t="shared" si="558"/>
        <v>8939</v>
      </c>
      <c r="BV422" s="75">
        <f t="shared" si="558"/>
        <v>8939</v>
      </c>
      <c r="BW422" s="75">
        <f t="shared" si="558"/>
        <v>8877</v>
      </c>
      <c r="BX422" s="75">
        <f t="shared" si="558"/>
        <v>8877</v>
      </c>
      <c r="BY422" s="77">
        <f t="shared" si="540"/>
        <v>99.30641011298803</v>
      </c>
      <c r="BZ422" s="77">
        <f t="shared" si="540"/>
        <v>99.30641011298803</v>
      </c>
    </row>
    <row r="423" spans="1:78" s="12" customFormat="1" ht="22.5" customHeight="1" hidden="1">
      <c r="A423" s="88" t="s">
        <v>11</v>
      </c>
      <c r="B423" s="89" t="s">
        <v>3</v>
      </c>
      <c r="C423" s="89" t="s">
        <v>132</v>
      </c>
      <c r="D423" s="90" t="s">
        <v>346</v>
      </c>
      <c r="E423" s="89" t="s">
        <v>18</v>
      </c>
      <c r="F423" s="75"/>
      <c r="G423" s="75"/>
      <c r="H423" s="75"/>
      <c r="I423" s="75"/>
      <c r="J423" s="106"/>
      <c r="K423" s="106"/>
      <c r="L423" s="78"/>
      <c r="M423" s="75"/>
      <c r="N423" s="75"/>
      <c r="O423" s="106"/>
      <c r="P423" s="106"/>
      <c r="Q423" s="106"/>
      <c r="R423" s="106"/>
      <c r="S423" s="75"/>
      <c r="T423" s="75"/>
      <c r="U423" s="106"/>
      <c r="V423" s="106"/>
      <c r="W423" s="106"/>
      <c r="X423" s="106"/>
      <c r="Y423" s="106"/>
      <c r="Z423" s="106"/>
      <c r="AA423" s="106"/>
      <c r="AB423" s="75"/>
      <c r="AC423" s="75"/>
      <c r="AD423" s="69"/>
      <c r="AE423" s="69"/>
      <c r="AF423" s="69"/>
      <c r="AG423" s="69"/>
      <c r="AH423" s="69"/>
      <c r="AI423" s="75"/>
      <c r="AJ423" s="75"/>
      <c r="AK423" s="106"/>
      <c r="AL423" s="75"/>
      <c r="AM423" s="75"/>
      <c r="AN423" s="106"/>
      <c r="AO423" s="106"/>
      <c r="AP423" s="106"/>
      <c r="AQ423" s="75"/>
      <c r="AR423" s="75"/>
      <c r="AS423" s="75"/>
      <c r="AT423" s="76"/>
      <c r="AU423" s="76"/>
      <c r="AV423" s="76"/>
      <c r="AW423" s="76"/>
      <c r="AX423" s="76"/>
      <c r="AY423" s="69"/>
      <c r="AZ423" s="69"/>
      <c r="BA423" s="69"/>
      <c r="BB423" s="69"/>
      <c r="BC423" s="75">
        <v>4246</v>
      </c>
      <c r="BD423" s="75">
        <f>AW423+AY423+AZ423+BA423+BB423+BC423</f>
        <v>4246</v>
      </c>
      <c r="BE423" s="75">
        <f>AX423+BC423</f>
        <v>4246</v>
      </c>
      <c r="BF423" s="106"/>
      <c r="BG423" s="106"/>
      <c r="BH423" s="106"/>
      <c r="BI423" s="75">
        <f>BD423+BF423+BG423+BH423</f>
        <v>4246</v>
      </c>
      <c r="BJ423" s="75">
        <f>BE423+BH423</f>
        <v>4246</v>
      </c>
      <c r="BK423" s="109"/>
      <c r="BL423" s="109"/>
      <c r="BM423" s="109"/>
      <c r="BN423" s="109"/>
      <c r="BO423" s="75">
        <f>BI423+BK423+BL423+BM423+BN423</f>
        <v>4246</v>
      </c>
      <c r="BP423" s="75">
        <f>BJ423+BN423</f>
        <v>4246</v>
      </c>
      <c r="BQ423" s="106"/>
      <c r="BR423" s="106"/>
      <c r="BS423" s="106"/>
      <c r="BT423" s="75">
        <v>4693</v>
      </c>
      <c r="BU423" s="75">
        <f>BO423+BQ423+BS423+BT423</f>
        <v>8939</v>
      </c>
      <c r="BV423" s="75">
        <f>BP423+BT423</f>
        <v>8939</v>
      </c>
      <c r="BW423" s="75">
        <v>8877</v>
      </c>
      <c r="BX423" s="75">
        <v>8877</v>
      </c>
      <c r="BY423" s="77">
        <f t="shared" si="540"/>
        <v>99.30641011298803</v>
      </c>
      <c r="BZ423" s="77">
        <f t="shared" si="540"/>
        <v>99.30641011298803</v>
      </c>
    </row>
    <row r="424" spans="1:78" s="12" customFormat="1" ht="86.25" customHeight="1" hidden="1">
      <c r="A424" s="88" t="s">
        <v>263</v>
      </c>
      <c r="B424" s="89" t="s">
        <v>3</v>
      </c>
      <c r="C424" s="89" t="s">
        <v>132</v>
      </c>
      <c r="D424" s="90" t="s">
        <v>264</v>
      </c>
      <c r="E424" s="89"/>
      <c r="F424" s="75">
        <f aca="true" t="shared" si="559" ref="F424:N424">F425</f>
        <v>0</v>
      </c>
      <c r="G424" s="75">
        <f t="shared" si="559"/>
        <v>30251</v>
      </c>
      <c r="H424" s="75">
        <f t="shared" si="559"/>
        <v>30251</v>
      </c>
      <c r="I424" s="75">
        <f t="shared" si="559"/>
        <v>30251</v>
      </c>
      <c r="J424" s="75">
        <f t="shared" si="559"/>
        <v>0</v>
      </c>
      <c r="K424" s="75">
        <f t="shared" si="559"/>
        <v>0</v>
      </c>
      <c r="L424" s="75">
        <f t="shared" si="559"/>
        <v>-30251</v>
      </c>
      <c r="M424" s="75">
        <f t="shared" si="559"/>
        <v>0</v>
      </c>
      <c r="N424" s="75">
        <f t="shared" si="559"/>
        <v>0</v>
      </c>
      <c r="O424" s="106"/>
      <c r="P424" s="106"/>
      <c r="Q424" s="106"/>
      <c r="R424" s="106"/>
      <c r="S424" s="69"/>
      <c r="T424" s="69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69"/>
      <c r="AE424" s="69"/>
      <c r="AF424" s="69"/>
      <c r="AG424" s="69"/>
      <c r="AH424" s="69"/>
      <c r="AI424" s="69"/>
      <c r="AJ424" s="69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8"/>
      <c r="AU424" s="108"/>
      <c r="AV424" s="108"/>
      <c r="AW424" s="108"/>
      <c r="AX424" s="108"/>
      <c r="AY424" s="69">
        <f aca="true" t="shared" si="560" ref="AY424:BX424">AY425</f>
        <v>0</v>
      </c>
      <c r="AZ424" s="69">
        <f t="shared" si="560"/>
        <v>0</v>
      </c>
      <c r="BA424" s="69">
        <f t="shared" si="560"/>
        <v>0</v>
      </c>
      <c r="BB424" s="69">
        <f t="shared" si="560"/>
        <v>0</v>
      </c>
      <c r="BC424" s="75">
        <f t="shared" si="560"/>
        <v>7343</v>
      </c>
      <c r="BD424" s="75">
        <f t="shared" si="560"/>
        <v>7343</v>
      </c>
      <c r="BE424" s="75">
        <f t="shared" si="560"/>
        <v>7343</v>
      </c>
      <c r="BF424" s="75">
        <f t="shared" si="560"/>
        <v>0</v>
      </c>
      <c r="BG424" s="75">
        <f t="shared" si="560"/>
        <v>0</v>
      </c>
      <c r="BH424" s="75">
        <f t="shared" si="560"/>
        <v>0</v>
      </c>
      <c r="BI424" s="75">
        <f t="shared" si="560"/>
        <v>7343</v>
      </c>
      <c r="BJ424" s="75">
        <f t="shared" si="560"/>
        <v>7343</v>
      </c>
      <c r="BK424" s="75">
        <f t="shared" si="560"/>
        <v>0</v>
      </c>
      <c r="BL424" s="75">
        <f t="shared" si="560"/>
        <v>0</v>
      </c>
      <c r="BM424" s="75">
        <f t="shared" si="560"/>
        <v>0</v>
      </c>
      <c r="BN424" s="75">
        <f t="shared" si="560"/>
        <v>0</v>
      </c>
      <c r="BO424" s="75">
        <f t="shared" si="560"/>
        <v>7343</v>
      </c>
      <c r="BP424" s="75">
        <f t="shared" si="560"/>
        <v>7343</v>
      </c>
      <c r="BQ424" s="75">
        <f t="shared" si="560"/>
        <v>0</v>
      </c>
      <c r="BR424" s="75"/>
      <c r="BS424" s="75">
        <f t="shared" si="560"/>
        <v>0</v>
      </c>
      <c r="BT424" s="75">
        <f t="shared" si="560"/>
        <v>0</v>
      </c>
      <c r="BU424" s="75">
        <f t="shared" si="560"/>
        <v>7343</v>
      </c>
      <c r="BV424" s="75">
        <f t="shared" si="560"/>
        <v>7343</v>
      </c>
      <c r="BW424" s="75">
        <f t="shared" si="560"/>
        <v>25063</v>
      </c>
      <c r="BX424" s="75">
        <f t="shared" si="560"/>
        <v>25063</v>
      </c>
      <c r="BY424" s="77">
        <f t="shared" si="540"/>
        <v>341.31826229061693</v>
      </c>
      <c r="BZ424" s="77">
        <f t="shared" si="540"/>
        <v>341.31826229061693</v>
      </c>
    </row>
    <row r="425" spans="1:78" s="12" customFormat="1" ht="20.25" customHeight="1" hidden="1">
      <c r="A425" s="88" t="s">
        <v>11</v>
      </c>
      <c r="B425" s="89" t="s">
        <v>3</v>
      </c>
      <c r="C425" s="89" t="s">
        <v>132</v>
      </c>
      <c r="D425" s="90" t="s">
        <v>264</v>
      </c>
      <c r="E425" s="89" t="s">
        <v>18</v>
      </c>
      <c r="F425" s="75"/>
      <c r="G425" s="75">
        <f>H425-F425</f>
        <v>30251</v>
      </c>
      <c r="H425" s="75">
        <v>30251</v>
      </c>
      <c r="I425" s="75">
        <v>30251</v>
      </c>
      <c r="J425" s="106"/>
      <c r="K425" s="106"/>
      <c r="L425" s="75">
        <v>-30251</v>
      </c>
      <c r="M425" s="75">
        <f>H425+J425+K425+L425</f>
        <v>0</v>
      </c>
      <c r="N425" s="75">
        <f>I425+L425</f>
        <v>0</v>
      </c>
      <c r="O425" s="106"/>
      <c r="P425" s="106"/>
      <c r="Q425" s="106"/>
      <c r="R425" s="106"/>
      <c r="S425" s="69"/>
      <c r="T425" s="69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69"/>
      <c r="AE425" s="69"/>
      <c r="AF425" s="69"/>
      <c r="AG425" s="69"/>
      <c r="AH425" s="69"/>
      <c r="AI425" s="69"/>
      <c r="AJ425" s="69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8"/>
      <c r="AU425" s="108"/>
      <c r="AV425" s="108"/>
      <c r="AW425" s="108"/>
      <c r="AX425" s="108"/>
      <c r="AY425" s="69"/>
      <c r="AZ425" s="69"/>
      <c r="BA425" s="69"/>
      <c r="BB425" s="69"/>
      <c r="BC425" s="75">
        <v>7343</v>
      </c>
      <c r="BD425" s="75">
        <f>AW425+AY425+AZ425+BA425+BB425+BC425</f>
        <v>7343</v>
      </c>
      <c r="BE425" s="75">
        <f>AX425+BC425</f>
        <v>7343</v>
      </c>
      <c r="BF425" s="106"/>
      <c r="BG425" s="106"/>
      <c r="BH425" s="106"/>
      <c r="BI425" s="75">
        <f>BD425+BF425+BG425+BH425</f>
        <v>7343</v>
      </c>
      <c r="BJ425" s="75">
        <f>BE425+BH425</f>
        <v>7343</v>
      </c>
      <c r="BK425" s="109"/>
      <c r="BL425" s="109"/>
      <c r="BM425" s="109"/>
      <c r="BN425" s="109"/>
      <c r="BO425" s="75">
        <f>BI425+BK425+BL425+BM425+BN425</f>
        <v>7343</v>
      </c>
      <c r="BP425" s="75">
        <f>BJ425+BN425</f>
        <v>7343</v>
      </c>
      <c r="BQ425" s="106"/>
      <c r="BR425" s="106"/>
      <c r="BS425" s="106"/>
      <c r="BT425" s="106"/>
      <c r="BU425" s="75">
        <f>BO425+BQ425+BS425+BT425</f>
        <v>7343</v>
      </c>
      <c r="BV425" s="75">
        <f>BP425+BT425</f>
        <v>7343</v>
      </c>
      <c r="BW425" s="75">
        <v>25063</v>
      </c>
      <c r="BX425" s="75">
        <v>25063</v>
      </c>
      <c r="BY425" s="77">
        <f t="shared" si="540"/>
        <v>341.31826229061693</v>
      </c>
      <c r="BZ425" s="77">
        <f t="shared" si="540"/>
        <v>341.31826229061693</v>
      </c>
    </row>
    <row r="426" spans="1:78" s="12" customFormat="1" ht="57" customHeight="1" hidden="1">
      <c r="A426" s="88" t="s">
        <v>252</v>
      </c>
      <c r="B426" s="89" t="s">
        <v>3</v>
      </c>
      <c r="C426" s="89" t="s">
        <v>132</v>
      </c>
      <c r="D426" s="90" t="s">
        <v>253</v>
      </c>
      <c r="E426" s="89"/>
      <c r="F426" s="75">
        <f aca="true" t="shared" si="561" ref="F426:BQ426">F427</f>
        <v>0</v>
      </c>
      <c r="G426" s="75">
        <f t="shared" si="561"/>
        <v>59969</v>
      </c>
      <c r="H426" s="75">
        <f t="shared" si="561"/>
        <v>59969</v>
      </c>
      <c r="I426" s="75">
        <f t="shared" si="561"/>
        <v>59969</v>
      </c>
      <c r="J426" s="75">
        <f t="shared" si="561"/>
        <v>0</v>
      </c>
      <c r="K426" s="75">
        <f t="shared" si="561"/>
        <v>0</v>
      </c>
      <c r="L426" s="75">
        <f t="shared" si="561"/>
        <v>-27340</v>
      </c>
      <c r="M426" s="75">
        <f t="shared" si="561"/>
        <v>32629</v>
      </c>
      <c r="N426" s="75">
        <f t="shared" si="561"/>
        <v>32629</v>
      </c>
      <c r="O426" s="75">
        <f t="shared" si="561"/>
        <v>0</v>
      </c>
      <c r="P426" s="75"/>
      <c r="Q426" s="75">
        <f t="shared" si="561"/>
        <v>0</v>
      </c>
      <c r="R426" s="75">
        <f t="shared" si="561"/>
        <v>0</v>
      </c>
      <c r="S426" s="75">
        <f t="shared" si="561"/>
        <v>32629</v>
      </c>
      <c r="T426" s="75">
        <f t="shared" si="561"/>
        <v>32629</v>
      </c>
      <c r="U426" s="75">
        <f t="shared" si="561"/>
        <v>0</v>
      </c>
      <c r="V426" s="75">
        <f t="shared" si="561"/>
        <v>0</v>
      </c>
      <c r="W426" s="75">
        <f t="shared" si="561"/>
        <v>0</v>
      </c>
      <c r="X426" s="75">
        <f t="shared" si="561"/>
        <v>0</v>
      </c>
      <c r="Y426" s="75">
        <f t="shared" si="561"/>
        <v>0</v>
      </c>
      <c r="Z426" s="75">
        <f t="shared" si="561"/>
        <v>0</v>
      </c>
      <c r="AA426" s="75">
        <f t="shared" si="561"/>
        <v>0</v>
      </c>
      <c r="AB426" s="75">
        <f t="shared" si="561"/>
        <v>32629</v>
      </c>
      <c r="AC426" s="75">
        <f t="shared" si="561"/>
        <v>32629</v>
      </c>
      <c r="AD426" s="75">
        <f t="shared" si="561"/>
        <v>0</v>
      </c>
      <c r="AE426" s="75">
        <f t="shared" si="561"/>
        <v>0</v>
      </c>
      <c r="AF426" s="75">
        <f t="shared" si="561"/>
        <v>0</v>
      </c>
      <c r="AG426" s="75">
        <f t="shared" si="561"/>
        <v>0</v>
      </c>
      <c r="AH426" s="75">
        <f t="shared" si="561"/>
        <v>0</v>
      </c>
      <c r="AI426" s="75">
        <f t="shared" si="561"/>
        <v>32629</v>
      </c>
      <c r="AJ426" s="75">
        <f t="shared" si="561"/>
        <v>32629</v>
      </c>
      <c r="AK426" s="75">
        <f t="shared" si="561"/>
        <v>0</v>
      </c>
      <c r="AL426" s="75">
        <f t="shared" si="561"/>
        <v>32629</v>
      </c>
      <c r="AM426" s="75">
        <f t="shared" si="561"/>
        <v>32629</v>
      </c>
      <c r="AN426" s="75">
        <f t="shared" si="561"/>
        <v>0</v>
      </c>
      <c r="AO426" s="75">
        <f t="shared" si="561"/>
        <v>0</v>
      </c>
      <c r="AP426" s="75">
        <f t="shared" si="561"/>
        <v>0</v>
      </c>
      <c r="AQ426" s="75">
        <f t="shared" si="561"/>
        <v>0</v>
      </c>
      <c r="AR426" s="75">
        <f t="shared" si="561"/>
        <v>32629</v>
      </c>
      <c r="AS426" s="75">
        <f t="shared" si="561"/>
        <v>32629</v>
      </c>
      <c r="AT426" s="76">
        <f t="shared" si="561"/>
        <v>0</v>
      </c>
      <c r="AU426" s="76">
        <f t="shared" si="561"/>
        <v>0</v>
      </c>
      <c r="AV426" s="76">
        <f t="shared" si="561"/>
        <v>0</v>
      </c>
      <c r="AW426" s="76">
        <f t="shared" si="561"/>
        <v>32629</v>
      </c>
      <c r="AX426" s="76">
        <f t="shared" si="561"/>
        <v>32629</v>
      </c>
      <c r="AY426" s="75">
        <f t="shared" si="561"/>
        <v>0</v>
      </c>
      <c r="AZ426" s="75">
        <f t="shared" si="561"/>
        <v>0</v>
      </c>
      <c r="BA426" s="75">
        <f t="shared" si="561"/>
        <v>0</v>
      </c>
      <c r="BB426" s="75">
        <f t="shared" si="561"/>
        <v>0</v>
      </c>
      <c r="BC426" s="75">
        <f t="shared" si="561"/>
        <v>0</v>
      </c>
      <c r="BD426" s="75">
        <f t="shared" si="561"/>
        <v>32629</v>
      </c>
      <c r="BE426" s="75">
        <f t="shared" si="561"/>
        <v>32629</v>
      </c>
      <c r="BF426" s="75">
        <f t="shared" si="561"/>
        <v>0</v>
      </c>
      <c r="BG426" s="75">
        <f t="shared" si="561"/>
        <v>0</v>
      </c>
      <c r="BH426" s="75">
        <f t="shared" si="561"/>
        <v>0</v>
      </c>
      <c r="BI426" s="75">
        <f t="shared" si="561"/>
        <v>32629</v>
      </c>
      <c r="BJ426" s="75">
        <f t="shared" si="561"/>
        <v>32629</v>
      </c>
      <c r="BK426" s="75">
        <f t="shared" si="561"/>
        <v>0</v>
      </c>
      <c r="BL426" s="75">
        <f t="shared" si="561"/>
        <v>0</v>
      </c>
      <c r="BM426" s="75">
        <f t="shared" si="561"/>
        <v>0</v>
      </c>
      <c r="BN426" s="75">
        <f t="shared" si="561"/>
        <v>0</v>
      </c>
      <c r="BO426" s="75">
        <f t="shared" si="561"/>
        <v>32629</v>
      </c>
      <c r="BP426" s="75">
        <f t="shared" si="561"/>
        <v>32629</v>
      </c>
      <c r="BQ426" s="75">
        <f t="shared" si="561"/>
        <v>0</v>
      </c>
      <c r="BR426" s="75"/>
      <c r="BS426" s="75">
        <f aca="true" t="shared" si="562" ref="BS426:BX426">BS427</f>
        <v>0</v>
      </c>
      <c r="BT426" s="75">
        <f t="shared" si="562"/>
        <v>0</v>
      </c>
      <c r="BU426" s="75">
        <f t="shared" si="562"/>
        <v>32629</v>
      </c>
      <c r="BV426" s="75">
        <f t="shared" si="562"/>
        <v>32629</v>
      </c>
      <c r="BW426" s="75">
        <f t="shared" si="562"/>
        <v>22308</v>
      </c>
      <c r="BX426" s="75">
        <f t="shared" si="562"/>
        <v>22308</v>
      </c>
      <c r="BY426" s="77">
        <f t="shared" si="540"/>
        <v>68.36862913359282</v>
      </c>
      <c r="BZ426" s="77">
        <f t="shared" si="540"/>
        <v>68.36862913359282</v>
      </c>
    </row>
    <row r="427" spans="1:78" s="12" customFormat="1" ht="26.25" customHeight="1" hidden="1">
      <c r="A427" s="88" t="s">
        <v>11</v>
      </c>
      <c r="B427" s="89" t="s">
        <v>3</v>
      </c>
      <c r="C427" s="89" t="s">
        <v>132</v>
      </c>
      <c r="D427" s="90" t="s">
        <v>253</v>
      </c>
      <c r="E427" s="89" t="s">
        <v>18</v>
      </c>
      <c r="F427" s="75"/>
      <c r="G427" s="75">
        <f>H427-F427</f>
        <v>59969</v>
      </c>
      <c r="H427" s="75">
        <v>59969</v>
      </c>
      <c r="I427" s="75">
        <v>59969</v>
      </c>
      <c r="J427" s="106"/>
      <c r="K427" s="106"/>
      <c r="L427" s="75">
        <v>-27340</v>
      </c>
      <c r="M427" s="75">
        <f>H427+J427+K427+L427</f>
        <v>32629</v>
      </c>
      <c r="N427" s="75">
        <f>I427+L427</f>
        <v>32629</v>
      </c>
      <c r="O427" s="106"/>
      <c r="P427" s="106"/>
      <c r="Q427" s="106"/>
      <c r="R427" s="106"/>
      <c r="S427" s="75">
        <f>M427+O427+P427+Q427+R427</f>
        <v>32629</v>
      </c>
      <c r="T427" s="75">
        <f>N427+R427</f>
        <v>32629</v>
      </c>
      <c r="U427" s="106"/>
      <c r="V427" s="106"/>
      <c r="W427" s="106"/>
      <c r="X427" s="106"/>
      <c r="Y427" s="106"/>
      <c r="Z427" s="106"/>
      <c r="AA427" s="106"/>
      <c r="AB427" s="75">
        <f>S427+U427+V427+W427+X427+Y427+Z427+AA427</f>
        <v>32629</v>
      </c>
      <c r="AC427" s="75">
        <f>T427+Z427+AA427</f>
        <v>32629</v>
      </c>
      <c r="AD427" s="69"/>
      <c r="AE427" s="69"/>
      <c r="AF427" s="69"/>
      <c r="AG427" s="69"/>
      <c r="AH427" s="69"/>
      <c r="AI427" s="75">
        <f>AB427+AD427+AE427+AF427+AG427+AH427</f>
        <v>32629</v>
      </c>
      <c r="AJ427" s="75">
        <f>AC427+AH427</f>
        <v>32629</v>
      </c>
      <c r="AK427" s="106"/>
      <c r="AL427" s="75">
        <f>AI427+AK427</f>
        <v>32629</v>
      </c>
      <c r="AM427" s="75">
        <f>AJ427</f>
        <v>32629</v>
      </c>
      <c r="AN427" s="106"/>
      <c r="AO427" s="106"/>
      <c r="AP427" s="106"/>
      <c r="AQ427" s="106"/>
      <c r="AR427" s="75">
        <f>AL427+AN427+AO427+AP427+AQ427</f>
        <v>32629</v>
      </c>
      <c r="AS427" s="75">
        <f>AM427+AQ427</f>
        <v>32629</v>
      </c>
      <c r="AT427" s="108"/>
      <c r="AU427" s="108"/>
      <c r="AV427" s="108"/>
      <c r="AW427" s="76">
        <f>AV427+AU427+AT427+AR427</f>
        <v>32629</v>
      </c>
      <c r="AX427" s="76">
        <f>AV427+AS427</f>
        <v>32629</v>
      </c>
      <c r="AY427" s="69"/>
      <c r="AZ427" s="69"/>
      <c r="BA427" s="69"/>
      <c r="BB427" s="69"/>
      <c r="BC427" s="69"/>
      <c r="BD427" s="75">
        <f>AW427+AY427+AZ427+BA427+BB427+BC427</f>
        <v>32629</v>
      </c>
      <c r="BE427" s="75">
        <f>AX427+BC427</f>
        <v>32629</v>
      </c>
      <c r="BF427" s="106"/>
      <c r="BG427" s="106"/>
      <c r="BH427" s="106"/>
      <c r="BI427" s="75">
        <f>BD427+BF427+BG427+BH427</f>
        <v>32629</v>
      </c>
      <c r="BJ427" s="75">
        <f>BE427+BH427</f>
        <v>32629</v>
      </c>
      <c r="BK427" s="109"/>
      <c r="BL427" s="109"/>
      <c r="BM427" s="109"/>
      <c r="BN427" s="109"/>
      <c r="BO427" s="75">
        <f>BI427+BK427+BL427+BM427+BN427</f>
        <v>32629</v>
      </c>
      <c r="BP427" s="75">
        <f>BJ427+BN427</f>
        <v>32629</v>
      </c>
      <c r="BQ427" s="106"/>
      <c r="BR427" s="106"/>
      <c r="BS427" s="106"/>
      <c r="BT427" s="106"/>
      <c r="BU427" s="75">
        <f>BO427+BQ427+BS427+BT427</f>
        <v>32629</v>
      </c>
      <c r="BV427" s="75">
        <f>BP427+BT427</f>
        <v>32629</v>
      </c>
      <c r="BW427" s="75">
        <v>22308</v>
      </c>
      <c r="BX427" s="75">
        <v>22308</v>
      </c>
      <c r="BY427" s="77">
        <f t="shared" si="540"/>
        <v>68.36862913359282</v>
      </c>
      <c r="BZ427" s="77">
        <f t="shared" si="540"/>
        <v>68.36862913359282</v>
      </c>
    </row>
    <row r="428" spans="1:78" s="12" customFormat="1" ht="36.75" customHeight="1" hidden="1">
      <c r="A428" s="88" t="s">
        <v>290</v>
      </c>
      <c r="B428" s="89" t="s">
        <v>3</v>
      </c>
      <c r="C428" s="89" t="s">
        <v>132</v>
      </c>
      <c r="D428" s="90" t="s">
        <v>285</v>
      </c>
      <c r="E428" s="89"/>
      <c r="F428" s="75"/>
      <c r="G428" s="75"/>
      <c r="H428" s="75"/>
      <c r="I428" s="75"/>
      <c r="J428" s="106"/>
      <c r="K428" s="106"/>
      <c r="L428" s="75"/>
      <c r="M428" s="75"/>
      <c r="N428" s="75"/>
      <c r="O428" s="75">
        <f>O430</f>
        <v>0</v>
      </c>
      <c r="P428" s="75"/>
      <c r="Q428" s="75">
        <f>Q430</f>
        <v>0</v>
      </c>
      <c r="R428" s="75">
        <f aca="true" t="shared" si="563" ref="R428:AC428">R429+R431</f>
        <v>0</v>
      </c>
      <c r="S428" s="75">
        <f t="shared" si="563"/>
        <v>0</v>
      </c>
      <c r="T428" s="75">
        <f t="shared" si="563"/>
        <v>0</v>
      </c>
      <c r="U428" s="106">
        <f t="shared" si="563"/>
        <v>0</v>
      </c>
      <c r="V428" s="106">
        <f t="shared" si="563"/>
        <v>0</v>
      </c>
      <c r="W428" s="106">
        <f t="shared" si="563"/>
        <v>0</v>
      </c>
      <c r="X428" s="106">
        <f t="shared" si="563"/>
        <v>0</v>
      </c>
      <c r="Y428" s="106">
        <f t="shared" si="563"/>
        <v>0</v>
      </c>
      <c r="Z428" s="78">
        <f t="shared" si="563"/>
        <v>7</v>
      </c>
      <c r="AA428" s="75">
        <f t="shared" si="563"/>
        <v>16255</v>
      </c>
      <c r="AB428" s="75">
        <f t="shared" si="563"/>
        <v>16262</v>
      </c>
      <c r="AC428" s="75">
        <f t="shared" si="563"/>
        <v>16262</v>
      </c>
      <c r="AD428" s="75">
        <f aca="true" t="shared" si="564" ref="AD428:AJ428">AD429+AD431</f>
        <v>0</v>
      </c>
      <c r="AE428" s="75">
        <f t="shared" si="564"/>
        <v>0</v>
      </c>
      <c r="AF428" s="75">
        <f t="shared" si="564"/>
        <v>0</v>
      </c>
      <c r="AG428" s="75">
        <f t="shared" si="564"/>
        <v>0</v>
      </c>
      <c r="AH428" s="75">
        <f t="shared" si="564"/>
        <v>0</v>
      </c>
      <c r="AI428" s="75">
        <f t="shared" si="564"/>
        <v>16262</v>
      </c>
      <c r="AJ428" s="75">
        <f t="shared" si="564"/>
        <v>16262</v>
      </c>
      <c r="AK428" s="75">
        <f aca="true" t="shared" si="565" ref="AK428:AS428">AK429+AK431</f>
        <v>0</v>
      </c>
      <c r="AL428" s="75">
        <f t="shared" si="565"/>
        <v>16262</v>
      </c>
      <c r="AM428" s="75">
        <f t="shared" si="565"/>
        <v>16262</v>
      </c>
      <c r="AN428" s="75">
        <f t="shared" si="565"/>
        <v>0</v>
      </c>
      <c r="AO428" s="75">
        <f>AO429+AO431</f>
        <v>0</v>
      </c>
      <c r="AP428" s="75">
        <f t="shared" si="565"/>
        <v>0</v>
      </c>
      <c r="AQ428" s="75">
        <f t="shared" si="565"/>
        <v>0</v>
      </c>
      <c r="AR428" s="75">
        <f t="shared" si="565"/>
        <v>16262</v>
      </c>
      <c r="AS428" s="75">
        <f t="shared" si="565"/>
        <v>16262</v>
      </c>
      <c r="AT428" s="76">
        <f aca="true" t="shared" si="566" ref="AT428:BJ428">AT429+AT431</f>
        <v>0</v>
      </c>
      <c r="AU428" s="76">
        <f t="shared" si="566"/>
        <v>0</v>
      </c>
      <c r="AV428" s="76">
        <f t="shared" si="566"/>
        <v>0</v>
      </c>
      <c r="AW428" s="76">
        <f t="shared" si="566"/>
        <v>16262</v>
      </c>
      <c r="AX428" s="76">
        <f t="shared" si="566"/>
        <v>16262</v>
      </c>
      <c r="AY428" s="75">
        <f t="shared" si="566"/>
        <v>0</v>
      </c>
      <c r="AZ428" s="75">
        <f t="shared" si="566"/>
        <v>0</v>
      </c>
      <c r="BA428" s="75">
        <f t="shared" si="566"/>
        <v>0</v>
      </c>
      <c r="BB428" s="75">
        <f t="shared" si="566"/>
        <v>0</v>
      </c>
      <c r="BC428" s="75">
        <f t="shared" si="566"/>
        <v>0</v>
      </c>
      <c r="BD428" s="75">
        <f t="shared" si="566"/>
        <v>16262</v>
      </c>
      <c r="BE428" s="75">
        <f t="shared" si="566"/>
        <v>16262</v>
      </c>
      <c r="BF428" s="75">
        <f t="shared" si="566"/>
        <v>0</v>
      </c>
      <c r="BG428" s="75">
        <f t="shared" si="566"/>
        <v>0</v>
      </c>
      <c r="BH428" s="75">
        <f t="shared" si="566"/>
        <v>0</v>
      </c>
      <c r="BI428" s="75">
        <f t="shared" si="566"/>
        <v>16262</v>
      </c>
      <c r="BJ428" s="75">
        <f t="shared" si="566"/>
        <v>16262</v>
      </c>
      <c r="BK428" s="75">
        <f aca="true" t="shared" si="567" ref="BK428:BP428">BK429+BK431</f>
        <v>0</v>
      </c>
      <c r="BL428" s="75">
        <f t="shared" si="567"/>
        <v>0</v>
      </c>
      <c r="BM428" s="75">
        <f t="shared" si="567"/>
        <v>0</v>
      </c>
      <c r="BN428" s="75">
        <f t="shared" si="567"/>
        <v>0</v>
      </c>
      <c r="BO428" s="75">
        <f t="shared" si="567"/>
        <v>16262</v>
      </c>
      <c r="BP428" s="75">
        <f t="shared" si="567"/>
        <v>16262</v>
      </c>
      <c r="BQ428" s="75">
        <f>BQ429+BQ431</f>
        <v>0</v>
      </c>
      <c r="BR428" s="75"/>
      <c r="BS428" s="75">
        <f aca="true" t="shared" si="568" ref="BS428:BX428">BS429+BS431</f>
        <v>0</v>
      </c>
      <c r="BT428" s="75">
        <f t="shared" si="568"/>
        <v>0</v>
      </c>
      <c r="BU428" s="75">
        <f t="shared" si="568"/>
        <v>16262</v>
      </c>
      <c r="BV428" s="75">
        <f t="shared" si="568"/>
        <v>16262</v>
      </c>
      <c r="BW428" s="75">
        <f t="shared" si="568"/>
        <v>16208</v>
      </c>
      <c r="BX428" s="75">
        <f t="shared" si="568"/>
        <v>16208</v>
      </c>
      <c r="BY428" s="77">
        <f t="shared" si="540"/>
        <v>99.66793752305989</v>
      </c>
      <c r="BZ428" s="77">
        <f t="shared" si="540"/>
        <v>99.66793752305989</v>
      </c>
    </row>
    <row r="429" spans="1:78" s="12" customFormat="1" ht="33" customHeight="1" hidden="1">
      <c r="A429" s="88" t="s">
        <v>293</v>
      </c>
      <c r="B429" s="89" t="s">
        <v>3</v>
      </c>
      <c r="C429" s="89" t="s">
        <v>132</v>
      </c>
      <c r="D429" s="90" t="s">
        <v>291</v>
      </c>
      <c r="E429" s="89"/>
      <c r="F429" s="75"/>
      <c r="G429" s="75"/>
      <c r="H429" s="75"/>
      <c r="I429" s="75"/>
      <c r="J429" s="106"/>
      <c r="K429" s="106"/>
      <c r="L429" s="75"/>
      <c r="M429" s="75"/>
      <c r="N429" s="75"/>
      <c r="O429" s="75"/>
      <c r="P429" s="75"/>
      <c r="Q429" s="75"/>
      <c r="R429" s="75">
        <f aca="true" t="shared" si="569" ref="R429:BX429">R430</f>
        <v>0</v>
      </c>
      <c r="S429" s="75">
        <f t="shared" si="569"/>
        <v>0</v>
      </c>
      <c r="T429" s="75">
        <f t="shared" si="569"/>
        <v>0</v>
      </c>
      <c r="U429" s="106">
        <f t="shared" si="569"/>
        <v>0</v>
      </c>
      <c r="V429" s="106">
        <f t="shared" si="569"/>
        <v>0</v>
      </c>
      <c r="W429" s="106">
        <f t="shared" si="569"/>
        <v>0</v>
      </c>
      <c r="X429" s="106">
        <f t="shared" si="569"/>
        <v>0</v>
      </c>
      <c r="Y429" s="106">
        <f t="shared" si="569"/>
        <v>0</v>
      </c>
      <c r="Z429" s="106">
        <f t="shared" si="569"/>
        <v>0</v>
      </c>
      <c r="AA429" s="75">
        <f t="shared" si="569"/>
        <v>16206</v>
      </c>
      <c r="AB429" s="75">
        <f t="shared" si="569"/>
        <v>16206</v>
      </c>
      <c r="AC429" s="75">
        <f t="shared" si="569"/>
        <v>16206</v>
      </c>
      <c r="AD429" s="75">
        <f t="shared" si="569"/>
        <v>0</v>
      </c>
      <c r="AE429" s="75">
        <f t="shared" si="569"/>
        <v>0</v>
      </c>
      <c r="AF429" s="75">
        <f t="shared" si="569"/>
        <v>0</v>
      </c>
      <c r="AG429" s="75">
        <f t="shared" si="569"/>
        <v>0</v>
      </c>
      <c r="AH429" s="75">
        <f t="shared" si="569"/>
        <v>0</v>
      </c>
      <c r="AI429" s="75">
        <f t="shared" si="569"/>
        <v>16206</v>
      </c>
      <c r="AJ429" s="75">
        <f t="shared" si="569"/>
        <v>16206</v>
      </c>
      <c r="AK429" s="75">
        <f t="shared" si="569"/>
        <v>0</v>
      </c>
      <c r="AL429" s="75">
        <f t="shared" si="569"/>
        <v>16206</v>
      </c>
      <c r="AM429" s="75">
        <f t="shared" si="569"/>
        <v>16206</v>
      </c>
      <c r="AN429" s="75">
        <f t="shared" si="569"/>
        <v>0</v>
      </c>
      <c r="AO429" s="75">
        <f t="shared" si="569"/>
        <v>0</v>
      </c>
      <c r="AP429" s="75">
        <f t="shared" si="569"/>
        <v>0</v>
      </c>
      <c r="AQ429" s="75">
        <f t="shared" si="569"/>
        <v>0</v>
      </c>
      <c r="AR429" s="75">
        <f t="shared" si="569"/>
        <v>16206</v>
      </c>
      <c r="AS429" s="75">
        <f t="shared" si="569"/>
        <v>16206</v>
      </c>
      <c r="AT429" s="76">
        <f t="shared" si="569"/>
        <v>0</v>
      </c>
      <c r="AU429" s="76">
        <f t="shared" si="569"/>
        <v>0</v>
      </c>
      <c r="AV429" s="76">
        <f t="shared" si="569"/>
        <v>0</v>
      </c>
      <c r="AW429" s="76">
        <f t="shared" si="569"/>
        <v>16206</v>
      </c>
      <c r="AX429" s="76">
        <f t="shared" si="569"/>
        <v>16206</v>
      </c>
      <c r="AY429" s="75">
        <f t="shared" si="569"/>
        <v>0</v>
      </c>
      <c r="AZ429" s="75">
        <f t="shared" si="569"/>
        <v>0</v>
      </c>
      <c r="BA429" s="75">
        <f t="shared" si="569"/>
        <v>0</v>
      </c>
      <c r="BB429" s="75">
        <f t="shared" si="569"/>
        <v>0</v>
      </c>
      <c r="BC429" s="75">
        <f t="shared" si="569"/>
        <v>7</v>
      </c>
      <c r="BD429" s="75">
        <f t="shared" si="569"/>
        <v>16213</v>
      </c>
      <c r="BE429" s="75">
        <f t="shared" si="569"/>
        <v>16213</v>
      </c>
      <c r="BF429" s="75">
        <f t="shared" si="569"/>
        <v>0</v>
      </c>
      <c r="BG429" s="75">
        <f t="shared" si="569"/>
        <v>0</v>
      </c>
      <c r="BH429" s="75">
        <f t="shared" si="569"/>
        <v>0</v>
      </c>
      <c r="BI429" s="75">
        <f t="shared" si="569"/>
        <v>16213</v>
      </c>
      <c r="BJ429" s="75">
        <f t="shared" si="569"/>
        <v>16213</v>
      </c>
      <c r="BK429" s="75">
        <f t="shared" si="569"/>
        <v>0</v>
      </c>
      <c r="BL429" s="75">
        <f t="shared" si="569"/>
        <v>0</v>
      </c>
      <c r="BM429" s="75">
        <f t="shared" si="569"/>
        <v>0</v>
      </c>
      <c r="BN429" s="75">
        <f t="shared" si="569"/>
        <v>0</v>
      </c>
      <c r="BO429" s="75">
        <f t="shared" si="569"/>
        <v>16213</v>
      </c>
      <c r="BP429" s="75">
        <f t="shared" si="569"/>
        <v>16213</v>
      </c>
      <c r="BQ429" s="75">
        <f t="shared" si="569"/>
        <v>0</v>
      </c>
      <c r="BR429" s="75"/>
      <c r="BS429" s="75">
        <f t="shared" si="569"/>
        <v>0</v>
      </c>
      <c r="BT429" s="75">
        <f t="shared" si="569"/>
        <v>0</v>
      </c>
      <c r="BU429" s="75">
        <f t="shared" si="569"/>
        <v>16213</v>
      </c>
      <c r="BV429" s="75">
        <f t="shared" si="569"/>
        <v>16213</v>
      </c>
      <c r="BW429" s="75">
        <f t="shared" si="569"/>
        <v>16193</v>
      </c>
      <c r="BX429" s="75">
        <f t="shared" si="569"/>
        <v>16193</v>
      </c>
      <c r="BY429" s="77">
        <f t="shared" si="540"/>
        <v>99.87664220070313</v>
      </c>
      <c r="BZ429" s="77">
        <f t="shared" si="540"/>
        <v>99.87664220070313</v>
      </c>
    </row>
    <row r="430" spans="1:78" s="12" customFormat="1" ht="31.5" customHeight="1" hidden="1">
      <c r="A430" s="88" t="s">
        <v>129</v>
      </c>
      <c r="B430" s="89" t="s">
        <v>3</v>
      </c>
      <c r="C430" s="89" t="s">
        <v>132</v>
      </c>
      <c r="D430" s="90" t="s">
        <v>291</v>
      </c>
      <c r="E430" s="89" t="s">
        <v>130</v>
      </c>
      <c r="F430" s="75"/>
      <c r="G430" s="75"/>
      <c r="H430" s="75"/>
      <c r="I430" s="75"/>
      <c r="J430" s="106"/>
      <c r="K430" s="106"/>
      <c r="L430" s="75"/>
      <c r="M430" s="75"/>
      <c r="N430" s="75"/>
      <c r="O430" s="75"/>
      <c r="P430" s="75"/>
      <c r="Q430" s="75"/>
      <c r="R430" s="75"/>
      <c r="S430" s="75">
        <f>M430+O430+P430+Q430+R430</f>
        <v>0</v>
      </c>
      <c r="T430" s="75">
        <f>N430+R430</f>
        <v>0</v>
      </c>
      <c r="U430" s="106"/>
      <c r="V430" s="106"/>
      <c r="W430" s="106"/>
      <c r="X430" s="106"/>
      <c r="Y430" s="106"/>
      <c r="Z430" s="106"/>
      <c r="AA430" s="75">
        <v>16206</v>
      </c>
      <c r="AB430" s="75">
        <f>S430+U430+V430+W430+X430+Y430+Z430+AA430</f>
        <v>16206</v>
      </c>
      <c r="AC430" s="75">
        <f>T430+Z430+AA430</f>
        <v>16206</v>
      </c>
      <c r="AD430" s="69"/>
      <c r="AE430" s="69"/>
      <c r="AF430" s="69"/>
      <c r="AG430" s="69"/>
      <c r="AH430" s="69"/>
      <c r="AI430" s="75">
        <f>AB430+AD430+AE430+AF430+AG430+AH430</f>
        <v>16206</v>
      </c>
      <c r="AJ430" s="75">
        <f>AC430+AH430</f>
        <v>16206</v>
      </c>
      <c r="AK430" s="106"/>
      <c r="AL430" s="75">
        <f>AI430+AK430</f>
        <v>16206</v>
      </c>
      <c r="AM430" s="75">
        <f>AJ430</f>
        <v>16206</v>
      </c>
      <c r="AN430" s="106"/>
      <c r="AO430" s="106"/>
      <c r="AP430" s="106"/>
      <c r="AQ430" s="106"/>
      <c r="AR430" s="75">
        <f>AL430+AN430+AO430+AP430+AQ430</f>
        <v>16206</v>
      </c>
      <c r="AS430" s="75">
        <f>AM430+AQ430</f>
        <v>16206</v>
      </c>
      <c r="AT430" s="108"/>
      <c r="AU430" s="108"/>
      <c r="AV430" s="108"/>
      <c r="AW430" s="76">
        <f>AV430+AU430+AT430+AR430</f>
        <v>16206</v>
      </c>
      <c r="AX430" s="76">
        <f>AV430+AS430</f>
        <v>16206</v>
      </c>
      <c r="AY430" s="69"/>
      <c r="AZ430" s="75"/>
      <c r="BA430" s="75"/>
      <c r="BB430" s="75"/>
      <c r="BC430" s="75">
        <v>7</v>
      </c>
      <c r="BD430" s="75">
        <f>AW430+AY430+AZ430+BA430+BB430+BC430</f>
        <v>16213</v>
      </c>
      <c r="BE430" s="75">
        <f>AX430+BC430</f>
        <v>16213</v>
      </c>
      <c r="BF430" s="106"/>
      <c r="BG430" s="106"/>
      <c r="BH430" s="106"/>
      <c r="BI430" s="75">
        <f>BD430+BF430+BG430+BH430</f>
        <v>16213</v>
      </c>
      <c r="BJ430" s="75">
        <f>BE430+BH430</f>
        <v>16213</v>
      </c>
      <c r="BK430" s="109"/>
      <c r="BL430" s="109"/>
      <c r="BM430" s="109"/>
      <c r="BN430" s="109"/>
      <c r="BO430" s="75">
        <f>BI430+BK430+BL430+BM430+BN430</f>
        <v>16213</v>
      </c>
      <c r="BP430" s="75">
        <f>BJ430+BN430</f>
        <v>16213</v>
      </c>
      <c r="BQ430" s="106"/>
      <c r="BR430" s="106"/>
      <c r="BS430" s="106"/>
      <c r="BT430" s="106"/>
      <c r="BU430" s="75">
        <f>BO430+BQ430+BS430+BT430</f>
        <v>16213</v>
      </c>
      <c r="BV430" s="75">
        <f>BP430+BT430</f>
        <v>16213</v>
      </c>
      <c r="BW430" s="75">
        <v>16193</v>
      </c>
      <c r="BX430" s="75">
        <v>16193</v>
      </c>
      <c r="BY430" s="77">
        <f t="shared" si="540"/>
        <v>99.87664220070313</v>
      </c>
      <c r="BZ430" s="77">
        <f t="shared" si="540"/>
        <v>99.87664220070313</v>
      </c>
    </row>
    <row r="431" spans="1:78" s="12" customFormat="1" ht="35.25" customHeight="1" hidden="1">
      <c r="A431" s="88" t="s">
        <v>294</v>
      </c>
      <c r="B431" s="89" t="s">
        <v>3</v>
      </c>
      <c r="C431" s="89" t="s">
        <v>132</v>
      </c>
      <c r="D431" s="90" t="s">
        <v>292</v>
      </c>
      <c r="E431" s="89"/>
      <c r="F431" s="75"/>
      <c r="G431" s="75"/>
      <c r="H431" s="75"/>
      <c r="I431" s="75"/>
      <c r="J431" s="106"/>
      <c r="K431" s="106"/>
      <c r="L431" s="75"/>
      <c r="M431" s="75"/>
      <c r="N431" s="75"/>
      <c r="O431" s="75"/>
      <c r="P431" s="75"/>
      <c r="Q431" s="75"/>
      <c r="R431" s="75">
        <f aca="true" t="shared" si="570" ref="R431:BX431">R432</f>
        <v>0</v>
      </c>
      <c r="S431" s="75">
        <f t="shared" si="570"/>
        <v>0</v>
      </c>
      <c r="T431" s="75">
        <f t="shared" si="570"/>
        <v>0</v>
      </c>
      <c r="U431" s="106">
        <f t="shared" si="570"/>
        <v>0</v>
      </c>
      <c r="V431" s="106">
        <f t="shared" si="570"/>
        <v>0</v>
      </c>
      <c r="W431" s="106">
        <f t="shared" si="570"/>
        <v>0</v>
      </c>
      <c r="X431" s="106">
        <f t="shared" si="570"/>
        <v>0</v>
      </c>
      <c r="Y431" s="106">
        <f t="shared" si="570"/>
        <v>0</v>
      </c>
      <c r="Z431" s="78">
        <f t="shared" si="570"/>
        <v>7</v>
      </c>
      <c r="AA431" s="78">
        <f t="shared" si="570"/>
        <v>49</v>
      </c>
      <c r="AB431" s="78">
        <f t="shared" si="570"/>
        <v>56</v>
      </c>
      <c r="AC431" s="78">
        <f t="shared" si="570"/>
        <v>56</v>
      </c>
      <c r="AD431" s="75">
        <f t="shared" si="570"/>
        <v>0</v>
      </c>
      <c r="AE431" s="75">
        <f t="shared" si="570"/>
        <v>0</v>
      </c>
      <c r="AF431" s="75">
        <f t="shared" si="570"/>
        <v>0</v>
      </c>
      <c r="AG431" s="75">
        <f t="shared" si="570"/>
        <v>0</v>
      </c>
      <c r="AH431" s="75">
        <f t="shared" si="570"/>
        <v>0</v>
      </c>
      <c r="AI431" s="75">
        <f t="shared" si="570"/>
        <v>56</v>
      </c>
      <c r="AJ431" s="75">
        <f t="shared" si="570"/>
        <v>56</v>
      </c>
      <c r="AK431" s="75">
        <f t="shared" si="570"/>
        <v>0</v>
      </c>
      <c r="AL431" s="75">
        <f t="shared" si="570"/>
        <v>56</v>
      </c>
      <c r="AM431" s="75">
        <f t="shared" si="570"/>
        <v>56</v>
      </c>
      <c r="AN431" s="75">
        <f t="shared" si="570"/>
        <v>0</v>
      </c>
      <c r="AO431" s="75">
        <f t="shared" si="570"/>
        <v>0</v>
      </c>
      <c r="AP431" s="75">
        <f t="shared" si="570"/>
        <v>0</v>
      </c>
      <c r="AQ431" s="75">
        <f t="shared" si="570"/>
        <v>0</v>
      </c>
      <c r="AR431" s="75">
        <f t="shared" si="570"/>
        <v>56</v>
      </c>
      <c r="AS431" s="75">
        <f t="shared" si="570"/>
        <v>56</v>
      </c>
      <c r="AT431" s="76">
        <f t="shared" si="570"/>
        <v>0</v>
      </c>
      <c r="AU431" s="76">
        <f t="shared" si="570"/>
        <v>0</v>
      </c>
      <c r="AV431" s="76">
        <f t="shared" si="570"/>
        <v>0</v>
      </c>
      <c r="AW431" s="76">
        <f t="shared" si="570"/>
        <v>56</v>
      </c>
      <c r="AX431" s="76">
        <f t="shared" si="570"/>
        <v>56</v>
      </c>
      <c r="AY431" s="75">
        <f t="shared" si="570"/>
        <v>0</v>
      </c>
      <c r="AZ431" s="75">
        <f t="shared" si="570"/>
        <v>0</v>
      </c>
      <c r="BA431" s="75">
        <f t="shared" si="570"/>
        <v>0</v>
      </c>
      <c r="BB431" s="75">
        <f t="shared" si="570"/>
        <v>0</v>
      </c>
      <c r="BC431" s="75">
        <f t="shared" si="570"/>
        <v>-7</v>
      </c>
      <c r="BD431" s="75">
        <f t="shared" si="570"/>
        <v>49</v>
      </c>
      <c r="BE431" s="75">
        <f t="shared" si="570"/>
        <v>49</v>
      </c>
      <c r="BF431" s="75">
        <f t="shared" si="570"/>
        <v>0</v>
      </c>
      <c r="BG431" s="75">
        <f t="shared" si="570"/>
        <v>0</v>
      </c>
      <c r="BH431" s="75">
        <f t="shared" si="570"/>
        <v>0</v>
      </c>
      <c r="BI431" s="75">
        <f t="shared" si="570"/>
        <v>49</v>
      </c>
      <c r="BJ431" s="75">
        <f t="shared" si="570"/>
        <v>49</v>
      </c>
      <c r="BK431" s="75">
        <f t="shared" si="570"/>
        <v>0</v>
      </c>
      <c r="BL431" s="75">
        <f t="shared" si="570"/>
        <v>0</v>
      </c>
      <c r="BM431" s="75">
        <f t="shared" si="570"/>
        <v>0</v>
      </c>
      <c r="BN431" s="75">
        <f t="shared" si="570"/>
        <v>0</v>
      </c>
      <c r="BO431" s="75">
        <f t="shared" si="570"/>
        <v>49</v>
      </c>
      <c r="BP431" s="75">
        <f t="shared" si="570"/>
        <v>49</v>
      </c>
      <c r="BQ431" s="75">
        <f t="shared" si="570"/>
        <v>0</v>
      </c>
      <c r="BR431" s="75"/>
      <c r="BS431" s="75">
        <f t="shared" si="570"/>
        <v>0</v>
      </c>
      <c r="BT431" s="75">
        <f t="shared" si="570"/>
        <v>0</v>
      </c>
      <c r="BU431" s="75">
        <f t="shared" si="570"/>
        <v>49</v>
      </c>
      <c r="BV431" s="75">
        <f t="shared" si="570"/>
        <v>49</v>
      </c>
      <c r="BW431" s="75">
        <f t="shared" si="570"/>
        <v>15</v>
      </c>
      <c r="BX431" s="75">
        <f t="shared" si="570"/>
        <v>15</v>
      </c>
      <c r="BY431" s="77">
        <f t="shared" si="540"/>
        <v>30.612244897959183</v>
      </c>
      <c r="BZ431" s="77">
        <f t="shared" si="540"/>
        <v>30.612244897959183</v>
      </c>
    </row>
    <row r="432" spans="1:78" s="12" customFormat="1" ht="36.75" customHeight="1" hidden="1">
      <c r="A432" s="88" t="s">
        <v>129</v>
      </c>
      <c r="B432" s="89" t="s">
        <v>3</v>
      </c>
      <c r="C432" s="89" t="s">
        <v>132</v>
      </c>
      <c r="D432" s="90" t="s">
        <v>292</v>
      </c>
      <c r="E432" s="89" t="s">
        <v>130</v>
      </c>
      <c r="F432" s="75"/>
      <c r="G432" s="75"/>
      <c r="H432" s="75"/>
      <c r="I432" s="75"/>
      <c r="J432" s="106"/>
      <c r="K432" s="106"/>
      <c r="L432" s="75"/>
      <c r="M432" s="75"/>
      <c r="N432" s="75"/>
      <c r="O432" s="75"/>
      <c r="P432" s="75"/>
      <c r="Q432" s="75"/>
      <c r="R432" s="75"/>
      <c r="S432" s="75">
        <f>M432+O432+P432+Q432+R432</f>
        <v>0</v>
      </c>
      <c r="T432" s="75">
        <f>N432+R432</f>
        <v>0</v>
      </c>
      <c r="U432" s="106"/>
      <c r="V432" s="106"/>
      <c r="W432" s="106"/>
      <c r="X432" s="106"/>
      <c r="Y432" s="106"/>
      <c r="Z432" s="78">
        <v>7</v>
      </c>
      <c r="AA432" s="78">
        <v>49</v>
      </c>
      <c r="AB432" s="75">
        <f>S432+U432+V432+W432+X432+Y432+Z432+AA432</f>
        <v>56</v>
      </c>
      <c r="AC432" s="75">
        <f>T432+Z432+AA432</f>
        <v>56</v>
      </c>
      <c r="AD432" s="69"/>
      <c r="AE432" s="69"/>
      <c r="AF432" s="69"/>
      <c r="AG432" s="69"/>
      <c r="AH432" s="69"/>
      <c r="AI432" s="75">
        <f>AB432+AD432+AE432+AF432+AG432+AH432</f>
        <v>56</v>
      </c>
      <c r="AJ432" s="75">
        <f>AC432+AH432</f>
        <v>56</v>
      </c>
      <c r="AK432" s="106"/>
      <c r="AL432" s="75">
        <f>AI432+AK432</f>
        <v>56</v>
      </c>
      <c r="AM432" s="75">
        <f>AJ432</f>
        <v>56</v>
      </c>
      <c r="AN432" s="106"/>
      <c r="AO432" s="106"/>
      <c r="AP432" s="106"/>
      <c r="AQ432" s="106"/>
      <c r="AR432" s="75">
        <f>AL432+AN432+AO432+AP432+AQ432</f>
        <v>56</v>
      </c>
      <c r="AS432" s="75">
        <f>AM432+AQ432</f>
        <v>56</v>
      </c>
      <c r="AT432" s="108"/>
      <c r="AU432" s="108"/>
      <c r="AV432" s="108"/>
      <c r="AW432" s="76">
        <f>AV432+AU432+AT432+AR432</f>
        <v>56</v>
      </c>
      <c r="AX432" s="76">
        <f>AV432+AS432</f>
        <v>56</v>
      </c>
      <c r="AY432" s="69"/>
      <c r="AZ432" s="75"/>
      <c r="BA432" s="75"/>
      <c r="BB432" s="75"/>
      <c r="BC432" s="75">
        <v>-7</v>
      </c>
      <c r="BD432" s="75">
        <f>AW432+AY432+AZ432+BA432+BB432+BC432</f>
        <v>49</v>
      </c>
      <c r="BE432" s="75">
        <f>AX432+BC432</f>
        <v>49</v>
      </c>
      <c r="BF432" s="106"/>
      <c r="BG432" s="106"/>
      <c r="BH432" s="106"/>
      <c r="BI432" s="75">
        <f>BD432+BF432+BG432+BH432</f>
        <v>49</v>
      </c>
      <c r="BJ432" s="75">
        <f>BE432+BH432</f>
        <v>49</v>
      </c>
      <c r="BK432" s="109"/>
      <c r="BL432" s="109"/>
      <c r="BM432" s="109"/>
      <c r="BN432" s="109"/>
      <c r="BO432" s="75">
        <f>BI432+BK432+BL432+BM432+BN432</f>
        <v>49</v>
      </c>
      <c r="BP432" s="75">
        <f>BJ432+BN432</f>
        <v>49</v>
      </c>
      <c r="BQ432" s="106"/>
      <c r="BR432" s="106"/>
      <c r="BS432" s="106"/>
      <c r="BT432" s="106"/>
      <c r="BU432" s="75">
        <f>BO432+BQ432+BS432+BT432</f>
        <v>49</v>
      </c>
      <c r="BV432" s="75">
        <f>BP432+BT432</f>
        <v>49</v>
      </c>
      <c r="BW432" s="75">
        <v>15</v>
      </c>
      <c r="BX432" s="75">
        <v>15</v>
      </c>
      <c r="BY432" s="77">
        <f t="shared" si="540"/>
        <v>30.612244897959183</v>
      </c>
      <c r="BZ432" s="77">
        <f t="shared" si="540"/>
        <v>30.612244897959183</v>
      </c>
    </row>
    <row r="433" spans="1:78" s="12" customFormat="1" ht="52.5" customHeight="1" hidden="1">
      <c r="A433" s="88" t="s">
        <v>252</v>
      </c>
      <c r="B433" s="89" t="s">
        <v>3</v>
      </c>
      <c r="C433" s="89" t="s">
        <v>132</v>
      </c>
      <c r="D433" s="90" t="s">
        <v>286</v>
      </c>
      <c r="E433" s="89"/>
      <c r="F433" s="75"/>
      <c r="G433" s="75"/>
      <c r="H433" s="75"/>
      <c r="I433" s="75"/>
      <c r="J433" s="106"/>
      <c r="K433" s="106"/>
      <c r="L433" s="75"/>
      <c r="M433" s="75"/>
      <c r="N433" s="75"/>
      <c r="O433" s="75">
        <f>O434</f>
        <v>0</v>
      </c>
      <c r="P433" s="75"/>
      <c r="Q433" s="75">
        <f aca="true" t="shared" si="571" ref="Q433:BX433">Q434</f>
        <v>0</v>
      </c>
      <c r="R433" s="75">
        <f t="shared" si="571"/>
        <v>0</v>
      </c>
      <c r="S433" s="75">
        <f t="shared" si="571"/>
        <v>0</v>
      </c>
      <c r="T433" s="75">
        <f t="shared" si="571"/>
        <v>0</v>
      </c>
      <c r="U433" s="106">
        <f t="shared" si="571"/>
        <v>0</v>
      </c>
      <c r="V433" s="106">
        <f t="shared" si="571"/>
        <v>0</v>
      </c>
      <c r="W433" s="106">
        <f t="shared" si="571"/>
        <v>0</v>
      </c>
      <c r="X433" s="106">
        <f t="shared" si="571"/>
        <v>0</v>
      </c>
      <c r="Y433" s="106">
        <f t="shared" si="571"/>
        <v>0</v>
      </c>
      <c r="Z433" s="78">
        <f t="shared" si="571"/>
        <v>1</v>
      </c>
      <c r="AA433" s="78">
        <f t="shared" si="571"/>
        <v>366</v>
      </c>
      <c r="AB433" s="75">
        <f t="shared" si="571"/>
        <v>367</v>
      </c>
      <c r="AC433" s="75">
        <f t="shared" si="571"/>
        <v>367</v>
      </c>
      <c r="AD433" s="75">
        <f t="shared" si="571"/>
        <v>0</v>
      </c>
      <c r="AE433" s="75">
        <f t="shared" si="571"/>
        <v>0</v>
      </c>
      <c r="AF433" s="75">
        <f t="shared" si="571"/>
        <v>0</v>
      </c>
      <c r="AG433" s="75">
        <f t="shared" si="571"/>
        <v>0</v>
      </c>
      <c r="AH433" s="75">
        <f t="shared" si="571"/>
        <v>0</v>
      </c>
      <c r="AI433" s="75">
        <f t="shared" si="571"/>
        <v>367</v>
      </c>
      <c r="AJ433" s="75">
        <f t="shared" si="571"/>
        <v>367</v>
      </c>
      <c r="AK433" s="75">
        <f t="shared" si="571"/>
        <v>0</v>
      </c>
      <c r="AL433" s="75">
        <f t="shared" si="571"/>
        <v>367</v>
      </c>
      <c r="AM433" s="75">
        <f t="shared" si="571"/>
        <v>367</v>
      </c>
      <c r="AN433" s="75">
        <f t="shared" si="571"/>
        <v>0</v>
      </c>
      <c r="AO433" s="75">
        <f t="shared" si="571"/>
        <v>0</v>
      </c>
      <c r="AP433" s="75">
        <f t="shared" si="571"/>
        <v>0</v>
      </c>
      <c r="AQ433" s="75">
        <f t="shared" si="571"/>
        <v>0</v>
      </c>
      <c r="AR433" s="75">
        <f t="shared" si="571"/>
        <v>367</v>
      </c>
      <c r="AS433" s="75">
        <f t="shared" si="571"/>
        <v>367</v>
      </c>
      <c r="AT433" s="76">
        <f t="shared" si="571"/>
        <v>0</v>
      </c>
      <c r="AU433" s="76">
        <f t="shared" si="571"/>
        <v>0</v>
      </c>
      <c r="AV433" s="76">
        <f t="shared" si="571"/>
        <v>0</v>
      </c>
      <c r="AW433" s="76">
        <f t="shared" si="571"/>
        <v>367</v>
      </c>
      <c r="AX433" s="76">
        <f t="shared" si="571"/>
        <v>367</v>
      </c>
      <c r="AY433" s="75">
        <f t="shared" si="571"/>
        <v>0</v>
      </c>
      <c r="AZ433" s="75">
        <f t="shared" si="571"/>
        <v>0</v>
      </c>
      <c r="BA433" s="75">
        <f t="shared" si="571"/>
        <v>0</v>
      </c>
      <c r="BB433" s="75">
        <f t="shared" si="571"/>
        <v>0</v>
      </c>
      <c r="BC433" s="75">
        <f t="shared" si="571"/>
        <v>0</v>
      </c>
      <c r="BD433" s="75">
        <f t="shared" si="571"/>
        <v>367</v>
      </c>
      <c r="BE433" s="75">
        <f t="shared" si="571"/>
        <v>367</v>
      </c>
      <c r="BF433" s="75">
        <f t="shared" si="571"/>
        <v>0</v>
      </c>
      <c r="BG433" s="75">
        <f t="shared" si="571"/>
        <v>0</v>
      </c>
      <c r="BH433" s="75">
        <f t="shared" si="571"/>
        <v>0</v>
      </c>
      <c r="BI433" s="75">
        <f t="shared" si="571"/>
        <v>367</v>
      </c>
      <c r="BJ433" s="75">
        <f t="shared" si="571"/>
        <v>367</v>
      </c>
      <c r="BK433" s="75">
        <f t="shared" si="571"/>
        <v>0</v>
      </c>
      <c r="BL433" s="75">
        <f t="shared" si="571"/>
        <v>0</v>
      </c>
      <c r="BM433" s="75">
        <f t="shared" si="571"/>
        <v>0</v>
      </c>
      <c r="BN433" s="75">
        <f t="shared" si="571"/>
        <v>0</v>
      </c>
      <c r="BO433" s="75">
        <f t="shared" si="571"/>
        <v>367</v>
      </c>
      <c r="BP433" s="75">
        <f t="shared" si="571"/>
        <v>367</v>
      </c>
      <c r="BQ433" s="75">
        <f t="shared" si="571"/>
        <v>0</v>
      </c>
      <c r="BR433" s="75"/>
      <c r="BS433" s="75">
        <f t="shared" si="571"/>
        <v>0</v>
      </c>
      <c r="BT433" s="75">
        <f t="shared" si="571"/>
        <v>0</v>
      </c>
      <c r="BU433" s="75">
        <f t="shared" si="571"/>
        <v>367</v>
      </c>
      <c r="BV433" s="75">
        <f t="shared" si="571"/>
        <v>367</v>
      </c>
      <c r="BW433" s="75">
        <f t="shared" si="571"/>
        <v>407</v>
      </c>
      <c r="BX433" s="75">
        <f t="shared" si="571"/>
        <v>407</v>
      </c>
      <c r="BY433" s="77">
        <f t="shared" si="540"/>
        <v>110.89918256130791</v>
      </c>
      <c r="BZ433" s="77">
        <f t="shared" si="540"/>
        <v>110.89918256130791</v>
      </c>
    </row>
    <row r="434" spans="1:78" s="12" customFormat="1" ht="37.5" customHeight="1" hidden="1">
      <c r="A434" s="88" t="s">
        <v>129</v>
      </c>
      <c r="B434" s="89" t="s">
        <v>3</v>
      </c>
      <c r="C434" s="89" t="s">
        <v>132</v>
      </c>
      <c r="D434" s="90" t="s">
        <v>286</v>
      </c>
      <c r="E434" s="89" t="s">
        <v>130</v>
      </c>
      <c r="F434" s="75"/>
      <c r="G434" s="75"/>
      <c r="H434" s="75"/>
      <c r="I434" s="75"/>
      <c r="J434" s="106"/>
      <c r="K434" s="106"/>
      <c r="L434" s="75"/>
      <c r="M434" s="75"/>
      <c r="N434" s="75"/>
      <c r="O434" s="75"/>
      <c r="P434" s="75"/>
      <c r="Q434" s="75"/>
      <c r="R434" s="75"/>
      <c r="S434" s="75">
        <f>M434+O434+P434+Q434+R434</f>
        <v>0</v>
      </c>
      <c r="T434" s="75">
        <f>N434+R434</f>
        <v>0</v>
      </c>
      <c r="U434" s="106"/>
      <c r="V434" s="106"/>
      <c r="W434" s="106"/>
      <c r="X434" s="106"/>
      <c r="Y434" s="106"/>
      <c r="Z434" s="78">
        <v>1</v>
      </c>
      <c r="AA434" s="78">
        <v>366</v>
      </c>
      <c r="AB434" s="75">
        <f>S434+U434+V434+W434+X434+Y434+Z434+AA434</f>
        <v>367</v>
      </c>
      <c r="AC434" s="75">
        <f>T434+Z434+AA434</f>
        <v>367</v>
      </c>
      <c r="AD434" s="69"/>
      <c r="AE434" s="69"/>
      <c r="AF434" s="69"/>
      <c r="AG434" s="69"/>
      <c r="AH434" s="69"/>
      <c r="AI434" s="75">
        <f>AB434+AD434+AE434+AF434+AG434+AH434</f>
        <v>367</v>
      </c>
      <c r="AJ434" s="75">
        <f>AC434+AH434</f>
        <v>367</v>
      </c>
      <c r="AK434" s="106"/>
      <c r="AL434" s="75">
        <f>AI434+AK434</f>
        <v>367</v>
      </c>
      <c r="AM434" s="75">
        <f>AJ434</f>
        <v>367</v>
      </c>
      <c r="AN434" s="106"/>
      <c r="AO434" s="106"/>
      <c r="AP434" s="106"/>
      <c r="AQ434" s="106"/>
      <c r="AR434" s="75">
        <f>AL434+AN434+AO434+AP434+AQ434</f>
        <v>367</v>
      </c>
      <c r="AS434" s="75">
        <f>AM434+AQ434</f>
        <v>367</v>
      </c>
      <c r="AT434" s="108"/>
      <c r="AU434" s="108"/>
      <c r="AV434" s="108"/>
      <c r="AW434" s="76">
        <f>AV434+AU434+AT434+AR434</f>
        <v>367</v>
      </c>
      <c r="AX434" s="76">
        <f>AV434+AS434</f>
        <v>367</v>
      </c>
      <c r="AY434" s="69"/>
      <c r="AZ434" s="69"/>
      <c r="BA434" s="69"/>
      <c r="BB434" s="69"/>
      <c r="BC434" s="69"/>
      <c r="BD434" s="75">
        <f>AW434+AY434+AZ434+BA434+BB434+BC434</f>
        <v>367</v>
      </c>
      <c r="BE434" s="75">
        <f>AX434+BC434</f>
        <v>367</v>
      </c>
      <c r="BF434" s="106"/>
      <c r="BG434" s="106"/>
      <c r="BH434" s="106"/>
      <c r="BI434" s="75">
        <f>BD434+BF434+BG434+BH434</f>
        <v>367</v>
      </c>
      <c r="BJ434" s="75">
        <f>BE434+BH434</f>
        <v>367</v>
      </c>
      <c r="BK434" s="109"/>
      <c r="BL434" s="109"/>
      <c r="BM434" s="109"/>
      <c r="BN434" s="109"/>
      <c r="BO434" s="75">
        <f>BI434+BK434+BL434+BM434+BN434</f>
        <v>367</v>
      </c>
      <c r="BP434" s="75">
        <f>BJ434+BN434</f>
        <v>367</v>
      </c>
      <c r="BQ434" s="106"/>
      <c r="BR434" s="106"/>
      <c r="BS434" s="106"/>
      <c r="BT434" s="106"/>
      <c r="BU434" s="75">
        <f>BO434+BQ434+BS434+BT434</f>
        <v>367</v>
      </c>
      <c r="BV434" s="75">
        <f>BP434+BT434</f>
        <v>367</v>
      </c>
      <c r="BW434" s="75">
        <v>407</v>
      </c>
      <c r="BX434" s="75">
        <v>407</v>
      </c>
      <c r="BY434" s="77">
        <f t="shared" si="540"/>
        <v>110.89918256130791</v>
      </c>
      <c r="BZ434" s="77">
        <f t="shared" si="540"/>
        <v>110.89918256130791</v>
      </c>
    </row>
    <row r="435" spans="1:78" s="12" customFormat="1" ht="20.25" customHeight="1" hidden="1">
      <c r="A435" s="88" t="s">
        <v>273</v>
      </c>
      <c r="B435" s="89" t="s">
        <v>3</v>
      </c>
      <c r="C435" s="89" t="s">
        <v>132</v>
      </c>
      <c r="D435" s="90" t="s">
        <v>213</v>
      </c>
      <c r="E435" s="89"/>
      <c r="F435" s="75">
        <f aca="true" t="shared" si="572" ref="F435:AS435">F436+F437</f>
        <v>0</v>
      </c>
      <c r="G435" s="75">
        <f t="shared" si="572"/>
        <v>36570</v>
      </c>
      <c r="H435" s="75">
        <f t="shared" si="572"/>
        <v>36570</v>
      </c>
      <c r="I435" s="75">
        <f t="shared" si="572"/>
        <v>36570</v>
      </c>
      <c r="J435" s="75">
        <f t="shared" si="572"/>
        <v>0</v>
      </c>
      <c r="K435" s="75">
        <f t="shared" si="572"/>
        <v>0</v>
      </c>
      <c r="L435" s="75">
        <f t="shared" si="572"/>
        <v>-62</v>
      </c>
      <c r="M435" s="75">
        <f t="shared" si="572"/>
        <v>36508</v>
      </c>
      <c r="N435" s="75">
        <f t="shared" si="572"/>
        <v>36508</v>
      </c>
      <c r="O435" s="75">
        <f t="shared" si="572"/>
        <v>0</v>
      </c>
      <c r="P435" s="75"/>
      <c r="Q435" s="75">
        <f t="shared" si="572"/>
        <v>0</v>
      </c>
      <c r="R435" s="75">
        <f t="shared" si="572"/>
        <v>0</v>
      </c>
      <c r="S435" s="75">
        <f t="shared" si="572"/>
        <v>36508</v>
      </c>
      <c r="T435" s="75">
        <f t="shared" si="572"/>
        <v>36508</v>
      </c>
      <c r="U435" s="75">
        <f t="shared" si="572"/>
        <v>0</v>
      </c>
      <c r="V435" s="75">
        <f t="shared" si="572"/>
        <v>0</v>
      </c>
      <c r="W435" s="75">
        <f t="shared" si="572"/>
        <v>0</v>
      </c>
      <c r="X435" s="75">
        <f t="shared" si="572"/>
        <v>0</v>
      </c>
      <c r="Y435" s="75">
        <f t="shared" si="572"/>
        <v>0</v>
      </c>
      <c r="Z435" s="75">
        <f t="shared" si="572"/>
        <v>0</v>
      </c>
      <c r="AA435" s="75">
        <f t="shared" si="572"/>
        <v>0</v>
      </c>
      <c r="AB435" s="75">
        <f t="shared" si="572"/>
        <v>36508</v>
      </c>
      <c r="AC435" s="75">
        <f t="shared" si="572"/>
        <v>36508</v>
      </c>
      <c r="AD435" s="75">
        <f t="shared" si="572"/>
        <v>0</v>
      </c>
      <c r="AE435" s="75">
        <f t="shared" si="572"/>
        <v>0</v>
      </c>
      <c r="AF435" s="75">
        <f t="shared" si="572"/>
        <v>0</v>
      </c>
      <c r="AG435" s="75">
        <f t="shared" si="572"/>
        <v>0</v>
      </c>
      <c r="AH435" s="75">
        <f t="shared" si="572"/>
        <v>0</v>
      </c>
      <c r="AI435" s="75">
        <f t="shared" si="572"/>
        <v>36508</v>
      </c>
      <c r="AJ435" s="75">
        <f t="shared" si="572"/>
        <v>36508</v>
      </c>
      <c r="AK435" s="75">
        <f t="shared" si="572"/>
        <v>0</v>
      </c>
      <c r="AL435" s="75">
        <f t="shared" si="572"/>
        <v>36508</v>
      </c>
      <c r="AM435" s="75">
        <f t="shared" si="572"/>
        <v>36508</v>
      </c>
      <c r="AN435" s="75">
        <f t="shared" si="572"/>
        <v>0</v>
      </c>
      <c r="AO435" s="75">
        <f t="shared" si="572"/>
        <v>0</v>
      </c>
      <c r="AP435" s="75">
        <f t="shared" si="572"/>
        <v>0</v>
      </c>
      <c r="AQ435" s="75">
        <f t="shared" si="572"/>
        <v>7343</v>
      </c>
      <c r="AR435" s="75">
        <f t="shared" si="572"/>
        <v>43851</v>
      </c>
      <c r="AS435" s="75">
        <f t="shared" si="572"/>
        <v>43851</v>
      </c>
      <c r="AT435" s="76">
        <f aca="true" t="shared" si="573" ref="AT435:BP435">AT436+AT437</f>
        <v>0</v>
      </c>
      <c r="AU435" s="76">
        <f t="shared" si="573"/>
        <v>0</v>
      </c>
      <c r="AV435" s="76">
        <f t="shared" si="573"/>
        <v>0</v>
      </c>
      <c r="AW435" s="76">
        <f t="shared" si="573"/>
        <v>43851</v>
      </c>
      <c r="AX435" s="76">
        <f t="shared" si="573"/>
        <v>43851</v>
      </c>
      <c r="AY435" s="75">
        <f t="shared" si="573"/>
        <v>0</v>
      </c>
      <c r="AZ435" s="75">
        <f t="shared" si="573"/>
        <v>0</v>
      </c>
      <c r="BA435" s="75">
        <f t="shared" si="573"/>
        <v>0</v>
      </c>
      <c r="BB435" s="75">
        <f t="shared" si="573"/>
        <v>0</v>
      </c>
      <c r="BC435" s="75">
        <f t="shared" si="573"/>
        <v>-7343</v>
      </c>
      <c r="BD435" s="75">
        <f t="shared" si="573"/>
        <v>36508</v>
      </c>
      <c r="BE435" s="75">
        <f t="shared" si="573"/>
        <v>36508</v>
      </c>
      <c r="BF435" s="75">
        <f t="shared" si="573"/>
        <v>0</v>
      </c>
      <c r="BG435" s="75">
        <f t="shared" si="573"/>
        <v>0</v>
      </c>
      <c r="BH435" s="75">
        <f t="shared" si="573"/>
        <v>0</v>
      </c>
      <c r="BI435" s="75">
        <f t="shared" si="573"/>
        <v>36508</v>
      </c>
      <c r="BJ435" s="75">
        <f t="shared" si="573"/>
        <v>36508</v>
      </c>
      <c r="BK435" s="75">
        <f t="shared" si="573"/>
        <v>0</v>
      </c>
      <c r="BL435" s="75">
        <f t="shared" si="573"/>
        <v>0</v>
      </c>
      <c r="BM435" s="75">
        <f t="shared" si="573"/>
        <v>0</v>
      </c>
      <c r="BN435" s="75">
        <f t="shared" si="573"/>
        <v>0</v>
      </c>
      <c r="BO435" s="75">
        <f t="shared" si="573"/>
        <v>36508</v>
      </c>
      <c r="BP435" s="75">
        <f t="shared" si="573"/>
        <v>36508</v>
      </c>
      <c r="BQ435" s="75">
        <f aca="true" t="shared" si="574" ref="BQ435:BV435">BQ436+BQ437+BQ439</f>
        <v>0</v>
      </c>
      <c r="BR435" s="75">
        <f t="shared" si="574"/>
        <v>0</v>
      </c>
      <c r="BS435" s="75">
        <f t="shared" si="574"/>
        <v>0</v>
      </c>
      <c r="BT435" s="75">
        <f t="shared" si="574"/>
        <v>18236</v>
      </c>
      <c r="BU435" s="75">
        <f t="shared" si="574"/>
        <v>54744</v>
      </c>
      <c r="BV435" s="75">
        <f t="shared" si="574"/>
        <v>54744</v>
      </c>
      <c r="BW435" s="75">
        <f>BW436+BW437+BW439</f>
        <v>17831</v>
      </c>
      <c r="BX435" s="75">
        <f>BX436+BX437+BX439</f>
        <v>17831</v>
      </c>
      <c r="BY435" s="77">
        <f t="shared" si="540"/>
        <v>32.57160602075113</v>
      </c>
      <c r="BZ435" s="77">
        <f t="shared" si="540"/>
        <v>32.57160602075113</v>
      </c>
    </row>
    <row r="436" spans="1:78" s="12" customFormat="1" ht="15.75" customHeight="1" hidden="1">
      <c r="A436" s="88" t="s">
        <v>11</v>
      </c>
      <c r="B436" s="89" t="s">
        <v>3</v>
      </c>
      <c r="C436" s="89" t="s">
        <v>132</v>
      </c>
      <c r="D436" s="90" t="s">
        <v>213</v>
      </c>
      <c r="E436" s="89" t="s">
        <v>18</v>
      </c>
      <c r="F436" s="75"/>
      <c r="G436" s="75">
        <f>H436-F436</f>
        <v>18674</v>
      </c>
      <c r="H436" s="75">
        <v>18674</v>
      </c>
      <c r="I436" s="75">
        <v>18674</v>
      </c>
      <c r="J436" s="106"/>
      <c r="K436" s="106"/>
      <c r="L436" s="78">
        <v>-62</v>
      </c>
      <c r="M436" s="75">
        <f>H436+J436+K436+L436</f>
        <v>18612</v>
      </c>
      <c r="N436" s="75">
        <f>I436+L436</f>
        <v>18612</v>
      </c>
      <c r="O436" s="106"/>
      <c r="P436" s="106"/>
      <c r="Q436" s="106"/>
      <c r="R436" s="106"/>
      <c r="S436" s="75">
        <f>M436+O436+P436+Q436+R436</f>
        <v>18612</v>
      </c>
      <c r="T436" s="75">
        <f>N436+R436</f>
        <v>18612</v>
      </c>
      <c r="U436" s="106"/>
      <c r="V436" s="106"/>
      <c r="W436" s="106"/>
      <c r="X436" s="106"/>
      <c r="Y436" s="106"/>
      <c r="Z436" s="106"/>
      <c r="AA436" s="106"/>
      <c r="AB436" s="75">
        <f>S436+U436+V436+W436+X436+Y436+Z436+AA436</f>
        <v>18612</v>
      </c>
      <c r="AC436" s="75">
        <f>T436+Z436+AA436</f>
        <v>18612</v>
      </c>
      <c r="AD436" s="69"/>
      <c r="AE436" s="69"/>
      <c r="AF436" s="69"/>
      <c r="AG436" s="69"/>
      <c r="AH436" s="69"/>
      <c r="AI436" s="75">
        <f>AB436+AD436+AE436+AF436+AG436+AH436</f>
        <v>18612</v>
      </c>
      <c r="AJ436" s="75">
        <f>AC436+AH436</f>
        <v>18612</v>
      </c>
      <c r="AK436" s="106"/>
      <c r="AL436" s="75">
        <f>AI436+AK436</f>
        <v>18612</v>
      </c>
      <c r="AM436" s="75">
        <f>AJ436</f>
        <v>18612</v>
      </c>
      <c r="AN436" s="106"/>
      <c r="AO436" s="106"/>
      <c r="AP436" s="106"/>
      <c r="AQ436" s="106"/>
      <c r="AR436" s="75">
        <f>AL436+AN436+AO436+AP436+AQ436</f>
        <v>18612</v>
      </c>
      <c r="AS436" s="75">
        <f>AM436+AQ436</f>
        <v>18612</v>
      </c>
      <c r="AT436" s="108"/>
      <c r="AU436" s="108"/>
      <c r="AV436" s="108"/>
      <c r="AW436" s="76">
        <f>AV436+AU436+AT436+AR436</f>
        <v>18612</v>
      </c>
      <c r="AX436" s="76">
        <f>AV436+AS436</f>
        <v>18612</v>
      </c>
      <c r="AY436" s="69"/>
      <c r="AZ436" s="69"/>
      <c r="BA436" s="69"/>
      <c r="BB436" s="69"/>
      <c r="BC436" s="69"/>
      <c r="BD436" s="75">
        <f>AW436+AY436+AZ436+BA436+BB436+BC436</f>
        <v>18612</v>
      </c>
      <c r="BE436" s="75">
        <f>AX436+BC436</f>
        <v>18612</v>
      </c>
      <c r="BF436" s="106"/>
      <c r="BG436" s="106"/>
      <c r="BH436" s="106"/>
      <c r="BI436" s="75">
        <f>BD436+BF436+BG436+BH436</f>
        <v>18612</v>
      </c>
      <c r="BJ436" s="75">
        <f>BE436+BH436</f>
        <v>18612</v>
      </c>
      <c r="BK436" s="109"/>
      <c r="BL436" s="109"/>
      <c r="BM436" s="109"/>
      <c r="BN436" s="109"/>
      <c r="BO436" s="75">
        <f>BI436+BK436+BL436+BM436+BN436</f>
        <v>18612</v>
      </c>
      <c r="BP436" s="75">
        <f>BJ436+BN436</f>
        <v>18612</v>
      </c>
      <c r="BQ436" s="106"/>
      <c r="BR436" s="106"/>
      <c r="BS436" s="106"/>
      <c r="BT436" s="78"/>
      <c r="BU436" s="75">
        <f>BO436+BQ436+BS436+BT436</f>
        <v>18612</v>
      </c>
      <c r="BV436" s="75">
        <f>BP436+BT436</f>
        <v>18612</v>
      </c>
      <c r="BW436" s="75">
        <v>17831</v>
      </c>
      <c r="BX436" s="75">
        <v>17831</v>
      </c>
      <c r="BY436" s="77">
        <f t="shared" si="540"/>
        <v>95.80378250591016</v>
      </c>
      <c r="BZ436" s="77">
        <f t="shared" si="540"/>
        <v>95.80378250591016</v>
      </c>
    </row>
    <row r="437" spans="1:78" s="12" customFormat="1" ht="86.25" customHeight="1" hidden="1">
      <c r="A437" s="88" t="s">
        <v>263</v>
      </c>
      <c r="B437" s="89" t="s">
        <v>3</v>
      </c>
      <c r="C437" s="89" t="s">
        <v>132</v>
      </c>
      <c r="D437" s="90" t="s">
        <v>274</v>
      </c>
      <c r="E437" s="89"/>
      <c r="F437" s="75">
        <f aca="true" t="shared" si="575" ref="F437:BQ437">F438</f>
        <v>0</v>
      </c>
      <c r="G437" s="75">
        <f t="shared" si="575"/>
        <v>17896</v>
      </c>
      <c r="H437" s="75">
        <f t="shared" si="575"/>
        <v>17896</v>
      </c>
      <c r="I437" s="75">
        <f t="shared" si="575"/>
        <v>17896</v>
      </c>
      <c r="J437" s="75">
        <f t="shared" si="575"/>
        <v>0</v>
      </c>
      <c r="K437" s="75">
        <f t="shared" si="575"/>
        <v>0</v>
      </c>
      <c r="L437" s="75">
        <f t="shared" si="575"/>
        <v>0</v>
      </c>
      <c r="M437" s="75">
        <f t="shared" si="575"/>
        <v>17896</v>
      </c>
      <c r="N437" s="75">
        <f t="shared" si="575"/>
        <v>17896</v>
      </c>
      <c r="O437" s="75">
        <f t="shared" si="575"/>
        <v>0</v>
      </c>
      <c r="P437" s="75"/>
      <c r="Q437" s="75">
        <f t="shared" si="575"/>
        <v>0</v>
      </c>
      <c r="R437" s="75">
        <f t="shared" si="575"/>
        <v>0</v>
      </c>
      <c r="S437" s="75">
        <f t="shared" si="575"/>
        <v>17896</v>
      </c>
      <c r="T437" s="75">
        <f t="shared" si="575"/>
        <v>17896</v>
      </c>
      <c r="U437" s="75">
        <f t="shared" si="575"/>
        <v>0</v>
      </c>
      <c r="V437" s="75">
        <f t="shared" si="575"/>
        <v>0</v>
      </c>
      <c r="W437" s="75">
        <f t="shared" si="575"/>
        <v>0</v>
      </c>
      <c r="X437" s="75">
        <f t="shared" si="575"/>
        <v>0</v>
      </c>
      <c r="Y437" s="75">
        <f t="shared" si="575"/>
        <v>0</v>
      </c>
      <c r="Z437" s="75">
        <f t="shared" si="575"/>
        <v>0</v>
      </c>
      <c r="AA437" s="75">
        <f t="shared" si="575"/>
        <v>0</v>
      </c>
      <c r="AB437" s="75">
        <f t="shared" si="575"/>
        <v>17896</v>
      </c>
      <c r="AC437" s="75">
        <f t="shared" si="575"/>
        <v>17896</v>
      </c>
      <c r="AD437" s="75">
        <f t="shared" si="575"/>
        <v>0</v>
      </c>
      <c r="AE437" s="75">
        <f t="shared" si="575"/>
        <v>0</v>
      </c>
      <c r="AF437" s="75">
        <f t="shared" si="575"/>
        <v>0</v>
      </c>
      <c r="AG437" s="75">
        <f t="shared" si="575"/>
        <v>0</v>
      </c>
      <c r="AH437" s="75">
        <f t="shared" si="575"/>
        <v>0</v>
      </c>
      <c r="AI437" s="75">
        <f t="shared" si="575"/>
        <v>17896</v>
      </c>
      <c r="AJ437" s="75">
        <f t="shared" si="575"/>
        <v>17896</v>
      </c>
      <c r="AK437" s="75">
        <f t="shared" si="575"/>
        <v>0</v>
      </c>
      <c r="AL437" s="75">
        <f t="shared" si="575"/>
        <v>17896</v>
      </c>
      <c r="AM437" s="75">
        <f t="shared" si="575"/>
        <v>17896</v>
      </c>
      <c r="AN437" s="75">
        <f t="shared" si="575"/>
        <v>0</v>
      </c>
      <c r="AO437" s="75">
        <f t="shared" si="575"/>
        <v>0</v>
      </c>
      <c r="AP437" s="75">
        <f t="shared" si="575"/>
        <v>0</v>
      </c>
      <c r="AQ437" s="75">
        <f t="shared" si="575"/>
        <v>7343</v>
      </c>
      <c r="AR437" s="75">
        <f t="shared" si="575"/>
        <v>25239</v>
      </c>
      <c r="AS437" s="75">
        <f t="shared" si="575"/>
        <v>25239</v>
      </c>
      <c r="AT437" s="76">
        <f t="shared" si="575"/>
        <v>0</v>
      </c>
      <c r="AU437" s="76">
        <f t="shared" si="575"/>
        <v>0</v>
      </c>
      <c r="AV437" s="76">
        <f t="shared" si="575"/>
        <v>0</v>
      </c>
      <c r="AW437" s="76">
        <f t="shared" si="575"/>
        <v>25239</v>
      </c>
      <c r="AX437" s="76">
        <f t="shared" si="575"/>
        <v>25239</v>
      </c>
      <c r="AY437" s="75">
        <f t="shared" si="575"/>
        <v>0</v>
      </c>
      <c r="AZ437" s="75">
        <f t="shared" si="575"/>
        <v>0</v>
      </c>
      <c r="BA437" s="75">
        <f t="shared" si="575"/>
        <v>0</v>
      </c>
      <c r="BB437" s="75">
        <f t="shared" si="575"/>
        <v>0</v>
      </c>
      <c r="BC437" s="75">
        <f t="shared" si="575"/>
        <v>-7343</v>
      </c>
      <c r="BD437" s="75">
        <f t="shared" si="575"/>
        <v>17896</v>
      </c>
      <c r="BE437" s="75">
        <f t="shared" si="575"/>
        <v>17896</v>
      </c>
      <c r="BF437" s="75">
        <f t="shared" si="575"/>
        <v>0</v>
      </c>
      <c r="BG437" s="75">
        <f t="shared" si="575"/>
        <v>0</v>
      </c>
      <c r="BH437" s="75">
        <f t="shared" si="575"/>
        <v>0</v>
      </c>
      <c r="BI437" s="75">
        <f t="shared" si="575"/>
        <v>17896</v>
      </c>
      <c r="BJ437" s="75">
        <f t="shared" si="575"/>
        <v>17896</v>
      </c>
      <c r="BK437" s="75">
        <f t="shared" si="575"/>
        <v>0</v>
      </c>
      <c r="BL437" s="75">
        <f t="shared" si="575"/>
        <v>0</v>
      </c>
      <c r="BM437" s="75">
        <f t="shared" si="575"/>
        <v>0</v>
      </c>
      <c r="BN437" s="75">
        <f t="shared" si="575"/>
        <v>0</v>
      </c>
      <c r="BO437" s="75">
        <f t="shared" si="575"/>
        <v>17896</v>
      </c>
      <c r="BP437" s="75">
        <f t="shared" si="575"/>
        <v>17896</v>
      </c>
      <c r="BQ437" s="75">
        <f t="shared" si="575"/>
        <v>0</v>
      </c>
      <c r="BR437" s="75"/>
      <c r="BS437" s="75">
        <f aca="true" t="shared" si="576" ref="BS437:BX437">BS438</f>
        <v>0</v>
      </c>
      <c r="BT437" s="75">
        <f t="shared" si="576"/>
        <v>0</v>
      </c>
      <c r="BU437" s="75">
        <f t="shared" si="576"/>
        <v>17896</v>
      </c>
      <c r="BV437" s="75">
        <f t="shared" si="576"/>
        <v>17896</v>
      </c>
      <c r="BW437" s="75">
        <f t="shared" si="576"/>
        <v>0</v>
      </c>
      <c r="BX437" s="75">
        <f t="shared" si="576"/>
        <v>0</v>
      </c>
      <c r="BY437" s="77">
        <f t="shared" si="540"/>
        <v>0</v>
      </c>
      <c r="BZ437" s="72">
        <f>BX437/BV437*100</f>
        <v>0</v>
      </c>
    </row>
    <row r="438" spans="1:78" s="12" customFormat="1" ht="20.25" customHeight="1" hidden="1">
      <c r="A438" s="88" t="s">
        <v>11</v>
      </c>
      <c r="B438" s="89" t="s">
        <v>3</v>
      </c>
      <c r="C438" s="89" t="s">
        <v>132</v>
      </c>
      <c r="D438" s="90" t="s">
        <v>274</v>
      </c>
      <c r="E438" s="89" t="s">
        <v>18</v>
      </c>
      <c r="F438" s="75"/>
      <c r="G438" s="75">
        <f>H438-F438</f>
        <v>17896</v>
      </c>
      <c r="H438" s="75">
        <v>17896</v>
      </c>
      <c r="I438" s="75">
        <v>17896</v>
      </c>
      <c r="J438" s="106"/>
      <c r="K438" s="106"/>
      <c r="L438" s="106"/>
      <c r="M438" s="75">
        <f>H438+J438+K438+L438</f>
        <v>17896</v>
      </c>
      <c r="N438" s="75">
        <f>I438+L438</f>
        <v>17896</v>
      </c>
      <c r="O438" s="106"/>
      <c r="P438" s="106"/>
      <c r="Q438" s="106"/>
      <c r="R438" s="106"/>
      <c r="S438" s="75">
        <f>M438+O438+P438+Q438+R438</f>
        <v>17896</v>
      </c>
      <c r="T438" s="75">
        <f>N438+R438</f>
        <v>17896</v>
      </c>
      <c r="U438" s="106"/>
      <c r="V438" s="106"/>
      <c r="W438" s="106"/>
      <c r="X438" s="106"/>
      <c r="Y438" s="106"/>
      <c r="Z438" s="106"/>
      <c r="AA438" s="106"/>
      <c r="AB438" s="75">
        <f>S438+U438+V438+W438+X438+Y438+Z438+AA438</f>
        <v>17896</v>
      </c>
      <c r="AC438" s="75">
        <f>T438+Z438+AA438</f>
        <v>17896</v>
      </c>
      <c r="AD438" s="69"/>
      <c r="AE438" s="69"/>
      <c r="AF438" s="69"/>
      <c r="AG438" s="69"/>
      <c r="AH438" s="69"/>
      <c r="AI438" s="75">
        <f>AB438+AD438+AE438+AF438+AG438+AH438</f>
        <v>17896</v>
      </c>
      <c r="AJ438" s="75">
        <f>AC438+AH438</f>
        <v>17896</v>
      </c>
      <c r="AK438" s="106"/>
      <c r="AL438" s="75">
        <f>AI438+AK438</f>
        <v>17896</v>
      </c>
      <c r="AM438" s="75">
        <f>AJ438</f>
        <v>17896</v>
      </c>
      <c r="AN438" s="106"/>
      <c r="AO438" s="106"/>
      <c r="AP438" s="106"/>
      <c r="AQ438" s="75">
        <v>7343</v>
      </c>
      <c r="AR438" s="75">
        <f>AL438+AN438+AO438+AP438+AQ438</f>
        <v>25239</v>
      </c>
      <c r="AS438" s="75">
        <f>AM438+AQ438</f>
        <v>25239</v>
      </c>
      <c r="AT438" s="76"/>
      <c r="AU438" s="76"/>
      <c r="AV438" s="76"/>
      <c r="AW438" s="76">
        <f>AV438+AU438+AT438+AR438</f>
        <v>25239</v>
      </c>
      <c r="AX438" s="76">
        <f>AV438+AS438</f>
        <v>25239</v>
      </c>
      <c r="AY438" s="69"/>
      <c r="AZ438" s="69"/>
      <c r="BA438" s="69"/>
      <c r="BB438" s="69"/>
      <c r="BC438" s="75">
        <v>-7343</v>
      </c>
      <c r="BD438" s="75">
        <f>AW438+AY438+AZ438+BA438+BB438+BC438</f>
        <v>17896</v>
      </c>
      <c r="BE438" s="75">
        <f>AX438+BC438</f>
        <v>17896</v>
      </c>
      <c r="BF438" s="106"/>
      <c r="BG438" s="106"/>
      <c r="BH438" s="106"/>
      <c r="BI438" s="75">
        <f>BD438+BF438+BG438+BH438</f>
        <v>17896</v>
      </c>
      <c r="BJ438" s="75">
        <f>BE438+BH438</f>
        <v>17896</v>
      </c>
      <c r="BK438" s="109"/>
      <c r="BL438" s="109"/>
      <c r="BM438" s="109"/>
      <c r="BN438" s="109"/>
      <c r="BO438" s="75">
        <f>BI438+BK438+BL438+BM438+BN438</f>
        <v>17896</v>
      </c>
      <c r="BP438" s="75">
        <f>BJ438+BN438</f>
        <v>17896</v>
      </c>
      <c r="BQ438" s="106"/>
      <c r="BR438" s="106"/>
      <c r="BS438" s="106"/>
      <c r="BT438" s="106"/>
      <c r="BU438" s="75">
        <f>BO438+BQ438+BS438+BT438</f>
        <v>17896</v>
      </c>
      <c r="BV438" s="75">
        <f>BP438+BT438</f>
        <v>17896</v>
      </c>
      <c r="BW438" s="75"/>
      <c r="BX438" s="75"/>
      <c r="BY438" s="77">
        <f t="shared" si="540"/>
        <v>0</v>
      </c>
      <c r="BZ438" s="72">
        <f>BX438/BV438*100</f>
        <v>0</v>
      </c>
    </row>
    <row r="439" spans="1:78" s="12" customFormat="1" ht="37.5" customHeight="1" hidden="1">
      <c r="A439" s="88" t="s">
        <v>389</v>
      </c>
      <c r="B439" s="89" t="s">
        <v>3</v>
      </c>
      <c r="C439" s="89" t="s">
        <v>132</v>
      </c>
      <c r="D439" s="90" t="s">
        <v>388</v>
      </c>
      <c r="E439" s="89"/>
      <c r="F439" s="75"/>
      <c r="G439" s="75"/>
      <c r="H439" s="75"/>
      <c r="I439" s="75"/>
      <c r="J439" s="106"/>
      <c r="K439" s="106"/>
      <c r="L439" s="106"/>
      <c r="M439" s="75"/>
      <c r="N439" s="75"/>
      <c r="O439" s="106"/>
      <c r="P439" s="106"/>
      <c r="Q439" s="106"/>
      <c r="R439" s="106"/>
      <c r="S439" s="75"/>
      <c r="T439" s="75"/>
      <c r="U439" s="106"/>
      <c r="V439" s="106"/>
      <c r="W439" s="106"/>
      <c r="X439" s="106"/>
      <c r="Y439" s="106"/>
      <c r="Z439" s="106"/>
      <c r="AA439" s="106"/>
      <c r="AB439" s="75"/>
      <c r="AC439" s="75"/>
      <c r="AD439" s="69"/>
      <c r="AE439" s="69"/>
      <c r="AF439" s="69"/>
      <c r="AG439" s="69"/>
      <c r="AH439" s="69"/>
      <c r="AI439" s="75"/>
      <c r="AJ439" s="75"/>
      <c r="AK439" s="106"/>
      <c r="AL439" s="75"/>
      <c r="AM439" s="75"/>
      <c r="AN439" s="106"/>
      <c r="AO439" s="106"/>
      <c r="AP439" s="106"/>
      <c r="AQ439" s="75"/>
      <c r="AR439" s="75"/>
      <c r="AS439" s="75"/>
      <c r="AT439" s="76"/>
      <c r="AU439" s="76"/>
      <c r="AV439" s="76"/>
      <c r="AW439" s="76"/>
      <c r="AX439" s="76"/>
      <c r="AY439" s="69"/>
      <c r="AZ439" s="69"/>
      <c r="BA439" s="69"/>
      <c r="BB439" s="69"/>
      <c r="BC439" s="75"/>
      <c r="BD439" s="75"/>
      <c r="BE439" s="75"/>
      <c r="BF439" s="106"/>
      <c r="BG439" s="106"/>
      <c r="BH439" s="106"/>
      <c r="BI439" s="75"/>
      <c r="BJ439" s="75"/>
      <c r="BK439" s="109"/>
      <c r="BL439" s="109"/>
      <c r="BM439" s="109"/>
      <c r="BN439" s="109"/>
      <c r="BO439" s="75"/>
      <c r="BP439" s="75"/>
      <c r="BQ439" s="106">
        <f aca="true" t="shared" si="577" ref="BQ439:BX439">BQ440</f>
        <v>0</v>
      </c>
      <c r="BR439" s="106">
        <f t="shared" si="577"/>
        <v>0</v>
      </c>
      <c r="BS439" s="106">
        <f t="shared" si="577"/>
        <v>0</v>
      </c>
      <c r="BT439" s="75">
        <f t="shared" si="577"/>
        <v>18236</v>
      </c>
      <c r="BU439" s="75">
        <f t="shared" si="577"/>
        <v>18236</v>
      </c>
      <c r="BV439" s="75">
        <f t="shared" si="577"/>
        <v>18236</v>
      </c>
      <c r="BW439" s="75">
        <f t="shared" si="577"/>
        <v>0</v>
      </c>
      <c r="BX439" s="75">
        <f t="shared" si="577"/>
        <v>0</v>
      </c>
      <c r="BY439" s="77">
        <f t="shared" si="540"/>
        <v>0</v>
      </c>
      <c r="BZ439" s="72">
        <f>BX439/BV439*100</f>
        <v>0</v>
      </c>
    </row>
    <row r="440" spans="1:78" s="12" customFormat="1" ht="20.25" customHeight="1" hidden="1">
      <c r="A440" s="88" t="s">
        <v>11</v>
      </c>
      <c r="B440" s="89" t="s">
        <v>3</v>
      </c>
      <c r="C440" s="89" t="s">
        <v>132</v>
      </c>
      <c r="D440" s="90" t="s">
        <v>388</v>
      </c>
      <c r="E440" s="89" t="s">
        <v>18</v>
      </c>
      <c r="F440" s="75"/>
      <c r="G440" s="75"/>
      <c r="H440" s="75"/>
      <c r="I440" s="75"/>
      <c r="J440" s="106"/>
      <c r="K440" s="106"/>
      <c r="L440" s="106"/>
      <c r="M440" s="75"/>
      <c r="N440" s="75"/>
      <c r="O440" s="106"/>
      <c r="P440" s="106"/>
      <c r="Q440" s="106"/>
      <c r="R440" s="106"/>
      <c r="S440" s="75"/>
      <c r="T440" s="75"/>
      <c r="U440" s="106"/>
      <c r="V440" s="106"/>
      <c r="W440" s="106"/>
      <c r="X440" s="106"/>
      <c r="Y440" s="106"/>
      <c r="Z440" s="106"/>
      <c r="AA440" s="106"/>
      <c r="AB440" s="75"/>
      <c r="AC440" s="75"/>
      <c r="AD440" s="69"/>
      <c r="AE440" s="69"/>
      <c r="AF440" s="69"/>
      <c r="AG440" s="69"/>
      <c r="AH440" s="69"/>
      <c r="AI440" s="75"/>
      <c r="AJ440" s="75"/>
      <c r="AK440" s="106"/>
      <c r="AL440" s="75"/>
      <c r="AM440" s="75"/>
      <c r="AN440" s="106"/>
      <c r="AO440" s="106"/>
      <c r="AP440" s="106"/>
      <c r="AQ440" s="75"/>
      <c r="AR440" s="75"/>
      <c r="AS440" s="75"/>
      <c r="AT440" s="76"/>
      <c r="AU440" s="76"/>
      <c r="AV440" s="76"/>
      <c r="AW440" s="76"/>
      <c r="AX440" s="76"/>
      <c r="AY440" s="69"/>
      <c r="AZ440" s="69"/>
      <c r="BA440" s="69"/>
      <c r="BB440" s="69"/>
      <c r="BC440" s="75"/>
      <c r="BD440" s="75"/>
      <c r="BE440" s="75"/>
      <c r="BF440" s="106"/>
      <c r="BG440" s="106"/>
      <c r="BH440" s="106"/>
      <c r="BI440" s="75"/>
      <c r="BJ440" s="75"/>
      <c r="BK440" s="109"/>
      <c r="BL440" s="109"/>
      <c r="BM440" s="109"/>
      <c r="BN440" s="109"/>
      <c r="BO440" s="75"/>
      <c r="BP440" s="75"/>
      <c r="BQ440" s="106"/>
      <c r="BR440" s="106"/>
      <c r="BS440" s="106"/>
      <c r="BT440" s="75">
        <v>18236</v>
      </c>
      <c r="BU440" s="75">
        <f>BO440+BQ440+BS440+BT440</f>
        <v>18236</v>
      </c>
      <c r="BV440" s="75">
        <f>BP440+BT440</f>
        <v>18236</v>
      </c>
      <c r="BW440" s="75"/>
      <c r="BX440" s="75"/>
      <c r="BY440" s="77">
        <f t="shared" si="540"/>
        <v>0</v>
      </c>
      <c r="BZ440" s="72">
        <f>BX440/BV440*100</f>
        <v>0</v>
      </c>
    </row>
    <row r="441" spans="1:78" s="22" customFormat="1" ht="36" customHeight="1" hidden="1">
      <c r="A441" s="88" t="s">
        <v>121</v>
      </c>
      <c r="B441" s="89" t="s">
        <v>3</v>
      </c>
      <c r="C441" s="89" t="s">
        <v>132</v>
      </c>
      <c r="D441" s="90" t="s">
        <v>122</v>
      </c>
      <c r="E441" s="89"/>
      <c r="F441" s="91">
        <f>F442+F443</f>
        <v>102142</v>
      </c>
      <c r="G441" s="91">
        <f>G442+G443</f>
        <v>100984</v>
      </c>
      <c r="H441" s="91">
        <f>H442+H443</f>
        <v>203126</v>
      </c>
      <c r="I441" s="91">
        <f aca="true" t="shared" si="578" ref="I441:AS441">I442+I443</f>
        <v>0</v>
      </c>
      <c r="J441" s="91">
        <f t="shared" si="578"/>
        <v>0</v>
      </c>
      <c r="K441" s="91">
        <f t="shared" si="578"/>
        <v>0</v>
      </c>
      <c r="L441" s="91">
        <f t="shared" si="578"/>
        <v>0</v>
      </c>
      <c r="M441" s="91">
        <f t="shared" si="578"/>
        <v>203126</v>
      </c>
      <c r="N441" s="91">
        <f t="shared" si="578"/>
        <v>0</v>
      </c>
      <c r="O441" s="91">
        <f t="shared" si="578"/>
        <v>0</v>
      </c>
      <c r="P441" s="91"/>
      <c r="Q441" s="91">
        <f t="shared" si="578"/>
        <v>0</v>
      </c>
      <c r="R441" s="91">
        <f t="shared" si="578"/>
        <v>0</v>
      </c>
      <c r="S441" s="91">
        <f t="shared" si="578"/>
        <v>203126</v>
      </c>
      <c r="T441" s="91">
        <f t="shared" si="578"/>
        <v>0</v>
      </c>
      <c r="U441" s="91">
        <f t="shared" si="578"/>
        <v>0</v>
      </c>
      <c r="V441" s="91">
        <f t="shared" si="578"/>
        <v>0</v>
      </c>
      <c r="W441" s="91">
        <f t="shared" si="578"/>
        <v>0</v>
      </c>
      <c r="X441" s="91">
        <f t="shared" si="578"/>
        <v>0</v>
      </c>
      <c r="Y441" s="91">
        <f t="shared" si="578"/>
        <v>0</v>
      </c>
      <c r="Z441" s="91">
        <f t="shared" si="578"/>
        <v>0</v>
      </c>
      <c r="AA441" s="91">
        <f t="shared" si="578"/>
        <v>0</v>
      </c>
      <c r="AB441" s="91">
        <f t="shared" si="578"/>
        <v>203126</v>
      </c>
      <c r="AC441" s="91">
        <f t="shared" si="578"/>
        <v>0</v>
      </c>
      <c r="AD441" s="91">
        <f t="shared" si="578"/>
        <v>0</v>
      </c>
      <c r="AE441" s="91">
        <f t="shared" si="578"/>
        <v>0</v>
      </c>
      <c r="AF441" s="91">
        <f t="shared" si="578"/>
        <v>-120295</v>
      </c>
      <c r="AG441" s="91">
        <f t="shared" si="578"/>
        <v>0</v>
      </c>
      <c r="AH441" s="91">
        <f t="shared" si="578"/>
        <v>0</v>
      </c>
      <c r="AI441" s="91">
        <f t="shared" si="578"/>
        <v>82831</v>
      </c>
      <c r="AJ441" s="91">
        <f t="shared" si="578"/>
        <v>0</v>
      </c>
      <c r="AK441" s="91">
        <f t="shared" si="578"/>
        <v>0</v>
      </c>
      <c r="AL441" s="91">
        <f t="shared" si="578"/>
        <v>82831</v>
      </c>
      <c r="AM441" s="91">
        <f t="shared" si="578"/>
        <v>0</v>
      </c>
      <c r="AN441" s="91">
        <f t="shared" si="578"/>
        <v>0</v>
      </c>
      <c r="AO441" s="91">
        <f t="shared" si="578"/>
        <v>0</v>
      </c>
      <c r="AP441" s="91">
        <f t="shared" si="578"/>
        <v>0</v>
      </c>
      <c r="AQ441" s="91">
        <f t="shared" si="578"/>
        <v>0</v>
      </c>
      <c r="AR441" s="91">
        <f t="shared" si="578"/>
        <v>82831</v>
      </c>
      <c r="AS441" s="91">
        <f t="shared" si="578"/>
        <v>0</v>
      </c>
      <c r="AT441" s="92">
        <f>AT442+AT443</f>
        <v>0</v>
      </c>
      <c r="AU441" s="92">
        <f>AU442+AU443</f>
        <v>-1870</v>
      </c>
      <c r="AV441" s="92">
        <f>AV442+AV443</f>
        <v>0</v>
      </c>
      <c r="AW441" s="92">
        <f>AW442+AW443</f>
        <v>80961</v>
      </c>
      <c r="AX441" s="92">
        <f aca="true" t="shared" si="579" ref="AX441:BV441">AX442+AX443</f>
        <v>0</v>
      </c>
      <c r="AY441" s="91">
        <f t="shared" si="579"/>
        <v>-21305</v>
      </c>
      <c r="AZ441" s="91">
        <f t="shared" si="579"/>
        <v>420</v>
      </c>
      <c r="BA441" s="91">
        <f t="shared" si="579"/>
        <v>0</v>
      </c>
      <c r="BB441" s="91">
        <f t="shared" si="579"/>
        <v>0</v>
      </c>
      <c r="BC441" s="91">
        <f t="shared" si="579"/>
        <v>0</v>
      </c>
      <c r="BD441" s="91">
        <f t="shared" si="579"/>
        <v>60076</v>
      </c>
      <c r="BE441" s="91">
        <f t="shared" si="579"/>
        <v>0</v>
      </c>
      <c r="BF441" s="91">
        <f t="shared" si="579"/>
        <v>1988</v>
      </c>
      <c r="BG441" s="91">
        <f t="shared" si="579"/>
        <v>0</v>
      </c>
      <c r="BH441" s="91">
        <f t="shared" si="579"/>
        <v>0</v>
      </c>
      <c r="BI441" s="91">
        <f t="shared" si="579"/>
        <v>62064</v>
      </c>
      <c r="BJ441" s="91">
        <f t="shared" si="579"/>
        <v>0</v>
      </c>
      <c r="BK441" s="91">
        <f t="shared" si="579"/>
        <v>0</v>
      </c>
      <c r="BL441" s="91">
        <f t="shared" si="579"/>
        <v>0</v>
      </c>
      <c r="BM441" s="91">
        <f t="shared" si="579"/>
        <v>0</v>
      </c>
      <c r="BN441" s="91">
        <f t="shared" si="579"/>
        <v>0</v>
      </c>
      <c r="BO441" s="91">
        <f t="shared" si="579"/>
        <v>62064</v>
      </c>
      <c r="BP441" s="91">
        <f t="shared" si="579"/>
        <v>0</v>
      </c>
      <c r="BQ441" s="91">
        <f t="shared" si="579"/>
        <v>0</v>
      </c>
      <c r="BR441" s="91"/>
      <c r="BS441" s="91">
        <f t="shared" si="579"/>
        <v>-11139</v>
      </c>
      <c r="BT441" s="91">
        <f t="shared" si="579"/>
        <v>0</v>
      </c>
      <c r="BU441" s="91">
        <f t="shared" si="579"/>
        <v>50925</v>
      </c>
      <c r="BV441" s="91">
        <f t="shared" si="579"/>
        <v>0</v>
      </c>
      <c r="BW441" s="91">
        <f>BW442+BW443</f>
        <v>40119</v>
      </c>
      <c r="BX441" s="91">
        <f>BX442+BX443</f>
        <v>0</v>
      </c>
      <c r="BY441" s="77">
        <f t="shared" si="540"/>
        <v>78.78055964653903</v>
      </c>
      <c r="BZ441" s="72"/>
    </row>
    <row r="442" spans="1:78" s="22" customFormat="1" ht="68.25" customHeight="1" hidden="1">
      <c r="A442" s="88" t="s">
        <v>138</v>
      </c>
      <c r="B442" s="89" t="s">
        <v>3</v>
      </c>
      <c r="C442" s="89" t="s">
        <v>132</v>
      </c>
      <c r="D442" s="90" t="s">
        <v>122</v>
      </c>
      <c r="E442" s="89" t="s">
        <v>139</v>
      </c>
      <c r="F442" s="75">
        <v>1395</v>
      </c>
      <c r="G442" s="75">
        <f>H442-F442</f>
        <v>0</v>
      </c>
      <c r="H442" s="75">
        <v>1395</v>
      </c>
      <c r="I442" s="184"/>
      <c r="J442" s="184"/>
      <c r="K442" s="184"/>
      <c r="L442" s="184"/>
      <c r="M442" s="75">
        <f>H442+J442+K442+L442</f>
        <v>1395</v>
      </c>
      <c r="N442" s="78">
        <f>I442+L442</f>
        <v>0</v>
      </c>
      <c r="O442" s="184"/>
      <c r="P442" s="184"/>
      <c r="Q442" s="185"/>
      <c r="R442" s="185"/>
      <c r="S442" s="75">
        <f>M442+O442+P442+Q442+R442</f>
        <v>1395</v>
      </c>
      <c r="T442" s="75">
        <f>N442+R442</f>
        <v>0</v>
      </c>
      <c r="U442" s="185"/>
      <c r="V442" s="185"/>
      <c r="W442" s="185"/>
      <c r="X442" s="78"/>
      <c r="Y442" s="185"/>
      <c r="Z442" s="185"/>
      <c r="AA442" s="185"/>
      <c r="AB442" s="75">
        <f>S442+U442+V442+W442+X442+Y442+Z442+AA442</f>
        <v>1395</v>
      </c>
      <c r="AC442" s="75">
        <f>T442+Z442+AA442</f>
        <v>0</v>
      </c>
      <c r="AD442" s="184"/>
      <c r="AE442" s="184"/>
      <c r="AF442" s="75">
        <v>-697</v>
      </c>
      <c r="AG442" s="184"/>
      <c r="AH442" s="184"/>
      <c r="AI442" s="75">
        <f>AB442+AD442+AE442+AF442+AG442+AH442</f>
        <v>698</v>
      </c>
      <c r="AJ442" s="75">
        <f>AC442+AH442</f>
        <v>0</v>
      </c>
      <c r="AK442" s="185"/>
      <c r="AL442" s="75">
        <f>AI442+AK442</f>
        <v>698</v>
      </c>
      <c r="AM442" s="75">
        <f>AJ442</f>
        <v>0</v>
      </c>
      <c r="AN442" s="185"/>
      <c r="AO442" s="185"/>
      <c r="AP442" s="185"/>
      <c r="AQ442" s="185"/>
      <c r="AR442" s="75">
        <f>AL442+AN442+AO442+AP442+AQ442</f>
        <v>698</v>
      </c>
      <c r="AS442" s="75">
        <f>AM442+AQ442</f>
        <v>0</v>
      </c>
      <c r="AT442" s="186"/>
      <c r="AU442" s="81"/>
      <c r="AV442" s="187"/>
      <c r="AW442" s="76">
        <f>AV442+AU442+AT442+AR442</f>
        <v>698</v>
      </c>
      <c r="AX442" s="76">
        <f>AV442+AS442</f>
        <v>0</v>
      </c>
      <c r="AY442" s="184"/>
      <c r="AZ442" s="184"/>
      <c r="BA442" s="184"/>
      <c r="BB442" s="184"/>
      <c r="BC442" s="184"/>
      <c r="BD442" s="75">
        <f>AW442+AY442+AZ442+BA442+BB442+BC442</f>
        <v>698</v>
      </c>
      <c r="BE442" s="75">
        <f>AX442+BC442</f>
        <v>0</v>
      </c>
      <c r="BF442" s="185"/>
      <c r="BG442" s="185"/>
      <c r="BH442" s="185"/>
      <c r="BI442" s="75">
        <f>BD442+BF442+BG442+BH442</f>
        <v>698</v>
      </c>
      <c r="BJ442" s="75">
        <f>BE442+BH442</f>
        <v>0</v>
      </c>
      <c r="BK442" s="188"/>
      <c r="BL442" s="188"/>
      <c r="BM442" s="188"/>
      <c r="BN442" s="188"/>
      <c r="BO442" s="75">
        <f>BI442+BK442+BL442+BM442+BN442</f>
        <v>698</v>
      </c>
      <c r="BP442" s="75">
        <f>BJ442+BN442</f>
        <v>0</v>
      </c>
      <c r="BQ442" s="185"/>
      <c r="BR442" s="185"/>
      <c r="BS442" s="78">
        <v>-349</v>
      </c>
      <c r="BT442" s="185"/>
      <c r="BU442" s="75">
        <f>BO442+BQ442+BS442+BT442</f>
        <v>349</v>
      </c>
      <c r="BV442" s="75">
        <f>BP442+BT442</f>
        <v>0</v>
      </c>
      <c r="BW442" s="75">
        <v>345</v>
      </c>
      <c r="BX442" s="75">
        <f>BR442+BV442</f>
        <v>0</v>
      </c>
      <c r="BY442" s="77">
        <f t="shared" si="540"/>
        <v>98.8538681948424</v>
      </c>
      <c r="BZ442" s="72"/>
    </row>
    <row r="443" spans="1:78" s="12" customFormat="1" ht="21" customHeight="1" hidden="1">
      <c r="A443" s="88" t="s">
        <v>11</v>
      </c>
      <c r="B443" s="89" t="s">
        <v>3</v>
      </c>
      <c r="C443" s="89" t="s">
        <v>132</v>
      </c>
      <c r="D443" s="90" t="s">
        <v>122</v>
      </c>
      <c r="E443" s="89" t="s">
        <v>18</v>
      </c>
      <c r="F443" s="75">
        <v>100747</v>
      </c>
      <c r="G443" s="75">
        <f>H443-F443</f>
        <v>100984</v>
      </c>
      <c r="H443" s="75">
        <f>5823+47343-2500+151065</f>
        <v>201731</v>
      </c>
      <c r="I443" s="106"/>
      <c r="J443" s="106"/>
      <c r="K443" s="106"/>
      <c r="L443" s="106"/>
      <c r="M443" s="75">
        <f>H443+J443+K443+L443</f>
        <v>201731</v>
      </c>
      <c r="N443" s="78">
        <f>I443+L443</f>
        <v>0</v>
      </c>
      <c r="O443" s="106"/>
      <c r="P443" s="106"/>
      <c r="Q443" s="106"/>
      <c r="R443" s="106"/>
      <c r="S443" s="75">
        <f>M443+O443+P443+Q443+R443</f>
        <v>201731</v>
      </c>
      <c r="T443" s="75">
        <f>N443+R443</f>
        <v>0</v>
      </c>
      <c r="U443" s="106"/>
      <c r="V443" s="106"/>
      <c r="W443" s="106"/>
      <c r="X443" s="75"/>
      <c r="Y443" s="106"/>
      <c r="Z443" s="106"/>
      <c r="AA443" s="106"/>
      <c r="AB443" s="75">
        <f>S443+U443+V443+W443+X443+Y443+Z443+AA443</f>
        <v>201731</v>
      </c>
      <c r="AC443" s="75">
        <f>T443+Z443+AA443</f>
        <v>0</v>
      </c>
      <c r="AD443" s="69"/>
      <c r="AE443" s="69"/>
      <c r="AF443" s="75">
        <f>-19298-300-100000</f>
        <v>-119598</v>
      </c>
      <c r="AG443" s="69"/>
      <c r="AH443" s="69"/>
      <c r="AI443" s="75">
        <f>AB443+AD443+AE443+AF443+AG443+AH443</f>
        <v>82133</v>
      </c>
      <c r="AJ443" s="75">
        <f>AC443+AH443</f>
        <v>0</v>
      </c>
      <c r="AK443" s="106"/>
      <c r="AL443" s="75">
        <f>AI443+AK443</f>
        <v>82133</v>
      </c>
      <c r="AM443" s="75">
        <f>AJ443</f>
        <v>0</v>
      </c>
      <c r="AN443" s="106"/>
      <c r="AO443" s="106"/>
      <c r="AP443" s="106"/>
      <c r="AQ443" s="106"/>
      <c r="AR443" s="75">
        <f>AL443+AN443+AO443+AP443+AQ443</f>
        <v>82133</v>
      </c>
      <c r="AS443" s="75">
        <f>AM443+AQ443</f>
        <v>0</v>
      </c>
      <c r="AT443" s="108"/>
      <c r="AU443" s="81">
        <v>-1870</v>
      </c>
      <c r="AV443" s="81"/>
      <c r="AW443" s="76">
        <f>AV443+AU443+AT443+AR443</f>
        <v>80263</v>
      </c>
      <c r="AX443" s="76">
        <f>AV443+AS443</f>
        <v>0</v>
      </c>
      <c r="AY443" s="75">
        <f>-1170-135-20000</f>
        <v>-21305</v>
      </c>
      <c r="AZ443" s="75">
        <v>420</v>
      </c>
      <c r="BA443" s="75"/>
      <c r="BB443" s="75"/>
      <c r="BC443" s="69"/>
      <c r="BD443" s="75">
        <f>AW443+AY443+AZ443+BA443+BB443+BC443</f>
        <v>59378</v>
      </c>
      <c r="BE443" s="75">
        <f>AX443+BC443</f>
        <v>0</v>
      </c>
      <c r="BF443" s="75">
        <v>1988</v>
      </c>
      <c r="BG443" s="106"/>
      <c r="BH443" s="106"/>
      <c r="BI443" s="75">
        <f>BD443+BF443+BG443+BH443</f>
        <v>61366</v>
      </c>
      <c r="BJ443" s="75">
        <f>BE443+BH443</f>
        <v>0</v>
      </c>
      <c r="BK443" s="109"/>
      <c r="BL443" s="109"/>
      <c r="BM443" s="109"/>
      <c r="BN443" s="109"/>
      <c r="BO443" s="75">
        <f>BI443+BK443+BL443+BM443+BN443</f>
        <v>61366</v>
      </c>
      <c r="BP443" s="75">
        <f>BJ443+BN443</f>
        <v>0</v>
      </c>
      <c r="BQ443" s="75"/>
      <c r="BR443" s="75"/>
      <c r="BS443" s="75">
        <f>-420-10370</f>
        <v>-10790</v>
      </c>
      <c r="BT443" s="106"/>
      <c r="BU443" s="75">
        <f>BO443+BQ443+BS443+BT443</f>
        <v>50576</v>
      </c>
      <c r="BV443" s="75">
        <f>BP443+BT443</f>
        <v>0</v>
      </c>
      <c r="BW443" s="75">
        <v>39774</v>
      </c>
      <c r="BX443" s="75">
        <f>BR443+BV443</f>
        <v>0</v>
      </c>
      <c r="BY443" s="77">
        <f t="shared" si="540"/>
        <v>78.64204365707054</v>
      </c>
      <c r="BZ443" s="72"/>
    </row>
    <row r="444" spans="1:78" s="22" customFormat="1" ht="14.25" customHeight="1">
      <c r="A444" s="101"/>
      <c r="B444" s="102"/>
      <c r="C444" s="102"/>
      <c r="D444" s="103"/>
      <c r="E444" s="102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5"/>
      <c r="R444" s="185"/>
      <c r="S444" s="184"/>
      <c r="T444" s="184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4"/>
      <c r="AE444" s="184"/>
      <c r="AF444" s="184"/>
      <c r="AG444" s="184"/>
      <c r="AH444" s="184"/>
      <c r="AI444" s="184"/>
      <c r="AJ444" s="184"/>
      <c r="AK444" s="185"/>
      <c r="AL444" s="185"/>
      <c r="AM444" s="185"/>
      <c r="AN444" s="185"/>
      <c r="AO444" s="185"/>
      <c r="AP444" s="185"/>
      <c r="AQ444" s="185"/>
      <c r="AR444" s="185"/>
      <c r="AS444" s="185"/>
      <c r="AT444" s="186"/>
      <c r="AU444" s="186"/>
      <c r="AV444" s="186"/>
      <c r="AW444" s="186"/>
      <c r="AX444" s="186"/>
      <c r="AY444" s="184"/>
      <c r="AZ444" s="184"/>
      <c r="BA444" s="184"/>
      <c r="BB444" s="184"/>
      <c r="BC444" s="184"/>
      <c r="BD444" s="188"/>
      <c r="BE444" s="188"/>
      <c r="BF444" s="185"/>
      <c r="BG444" s="185"/>
      <c r="BH444" s="185"/>
      <c r="BI444" s="185"/>
      <c r="BJ444" s="185"/>
      <c r="BK444" s="188"/>
      <c r="BL444" s="188"/>
      <c r="BM444" s="188"/>
      <c r="BN444" s="188"/>
      <c r="BO444" s="188"/>
      <c r="BP444" s="188"/>
      <c r="BQ444" s="185"/>
      <c r="BR444" s="185"/>
      <c r="BS444" s="185"/>
      <c r="BT444" s="185"/>
      <c r="BU444" s="185"/>
      <c r="BV444" s="185"/>
      <c r="BW444" s="185"/>
      <c r="BX444" s="185"/>
      <c r="BY444" s="72"/>
      <c r="BZ444" s="72"/>
    </row>
    <row r="445" spans="1:78" s="22" customFormat="1" ht="17.25" customHeight="1">
      <c r="A445" s="66" t="s">
        <v>8</v>
      </c>
      <c r="B445" s="67" t="s">
        <v>3</v>
      </c>
      <c r="C445" s="67" t="s">
        <v>135</v>
      </c>
      <c r="D445" s="85"/>
      <c r="E445" s="67"/>
      <c r="F445" s="86">
        <f aca="true" t="shared" si="580" ref="F445:BQ445">F446</f>
        <v>0</v>
      </c>
      <c r="G445" s="86">
        <f t="shared" si="580"/>
        <v>80194</v>
      </c>
      <c r="H445" s="86">
        <f t="shared" si="580"/>
        <v>80194</v>
      </c>
      <c r="I445" s="86">
        <f t="shared" si="580"/>
        <v>80194</v>
      </c>
      <c r="J445" s="86">
        <f t="shared" si="580"/>
        <v>0</v>
      </c>
      <c r="K445" s="86">
        <f t="shared" si="580"/>
        <v>0</v>
      </c>
      <c r="L445" s="86">
        <f t="shared" si="580"/>
        <v>0</v>
      </c>
      <c r="M445" s="86">
        <f t="shared" si="580"/>
        <v>80194</v>
      </c>
      <c r="N445" s="86">
        <f t="shared" si="580"/>
        <v>80194</v>
      </c>
      <c r="O445" s="86">
        <f t="shared" si="580"/>
        <v>0</v>
      </c>
      <c r="P445" s="86"/>
      <c r="Q445" s="86">
        <f t="shared" si="580"/>
        <v>0</v>
      </c>
      <c r="R445" s="86">
        <f t="shared" si="580"/>
        <v>0</v>
      </c>
      <c r="S445" s="86">
        <f t="shared" si="580"/>
        <v>80194</v>
      </c>
      <c r="T445" s="86">
        <f t="shared" si="580"/>
        <v>80194</v>
      </c>
      <c r="U445" s="86">
        <f t="shared" si="580"/>
        <v>0</v>
      </c>
      <c r="V445" s="86">
        <f t="shared" si="580"/>
        <v>0</v>
      </c>
      <c r="W445" s="86">
        <f t="shared" si="580"/>
        <v>0</v>
      </c>
      <c r="X445" s="86">
        <f t="shared" si="580"/>
        <v>0</v>
      </c>
      <c r="Y445" s="86">
        <f t="shared" si="580"/>
        <v>0</v>
      </c>
      <c r="Z445" s="86">
        <f t="shared" si="580"/>
        <v>0</v>
      </c>
      <c r="AA445" s="86">
        <f t="shared" si="580"/>
        <v>0</v>
      </c>
      <c r="AB445" s="86">
        <f t="shared" si="580"/>
        <v>80194</v>
      </c>
      <c r="AC445" s="86">
        <f t="shared" si="580"/>
        <v>80194</v>
      </c>
      <c r="AD445" s="86">
        <f t="shared" si="580"/>
        <v>0</v>
      </c>
      <c r="AE445" s="86">
        <f t="shared" si="580"/>
        <v>0</v>
      </c>
      <c r="AF445" s="86">
        <f t="shared" si="580"/>
        <v>0</v>
      </c>
      <c r="AG445" s="86">
        <f t="shared" si="580"/>
        <v>0</v>
      </c>
      <c r="AH445" s="86">
        <f t="shared" si="580"/>
        <v>0</v>
      </c>
      <c r="AI445" s="86">
        <f t="shared" si="580"/>
        <v>80194</v>
      </c>
      <c r="AJ445" s="86">
        <f t="shared" si="580"/>
        <v>80194</v>
      </c>
      <c r="AK445" s="86">
        <f t="shared" si="580"/>
        <v>0</v>
      </c>
      <c r="AL445" s="86">
        <f t="shared" si="580"/>
        <v>80194</v>
      </c>
      <c r="AM445" s="86">
        <f t="shared" si="580"/>
        <v>80194</v>
      </c>
      <c r="AN445" s="86">
        <f t="shared" si="580"/>
        <v>0</v>
      </c>
      <c r="AO445" s="86">
        <f t="shared" si="580"/>
        <v>0</v>
      </c>
      <c r="AP445" s="86">
        <f t="shared" si="580"/>
        <v>0</v>
      </c>
      <c r="AQ445" s="86">
        <f t="shared" si="580"/>
        <v>4594</v>
      </c>
      <c r="AR445" s="86">
        <f t="shared" si="580"/>
        <v>84788</v>
      </c>
      <c r="AS445" s="86">
        <f t="shared" si="580"/>
        <v>84788</v>
      </c>
      <c r="AT445" s="87">
        <f t="shared" si="580"/>
        <v>0</v>
      </c>
      <c r="AU445" s="87">
        <f t="shared" si="580"/>
        <v>0</v>
      </c>
      <c r="AV445" s="87">
        <f t="shared" si="580"/>
        <v>0</v>
      </c>
      <c r="AW445" s="87">
        <f t="shared" si="580"/>
        <v>84788</v>
      </c>
      <c r="AX445" s="87">
        <f t="shared" si="580"/>
        <v>84788</v>
      </c>
      <c r="AY445" s="86">
        <f t="shared" si="580"/>
        <v>0</v>
      </c>
      <c r="AZ445" s="86">
        <f t="shared" si="580"/>
        <v>0</v>
      </c>
      <c r="BA445" s="86">
        <f t="shared" si="580"/>
        <v>0</v>
      </c>
      <c r="BB445" s="86">
        <f t="shared" si="580"/>
        <v>0</v>
      </c>
      <c r="BC445" s="86">
        <f t="shared" si="580"/>
        <v>0</v>
      </c>
      <c r="BD445" s="86">
        <f t="shared" si="580"/>
        <v>84788</v>
      </c>
      <c r="BE445" s="86">
        <f t="shared" si="580"/>
        <v>84788</v>
      </c>
      <c r="BF445" s="86">
        <f t="shared" si="580"/>
        <v>0</v>
      </c>
      <c r="BG445" s="86">
        <f t="shared" si="580"/>
        <v>0</v>
      </c>
      <c r="BH445" s="86">
        <f t="shared" si="580"/>
        <v>0</v>
      </c>
      <c r="BI445" s="86">
        <f t="shared" si="580"/>
        <v>84788</v>
      </c>
      <c r="BJ445" s="86">
        <f t="shared" si="580"/>
        <v>84788</v>
      </c>
      <c r="BK445" s="86">
        <f t="shared" si="580"/>
        <v>0</v>
      </c>
      <c r="BL445" s="86">
        <f t="shared" si="580"/>
        <v>0</v>
      </c>
      <c r="BM445" s="86">
        <f t="shared" si="580"/>
        <v>0</v>
      </c>
      <c r="BN445" s="86">
        <f t="shared" si="580"/>
        <v>0</v>
      </c>
      <c r="BO445" s="86">
        <f t="shared" si="580"/>
        <v>84788</v>
      </c>
      <c r="BP445" s="86">
        <f t="shared" si="580"/>
        <v>84788</v>
      </c>
      <c r="BQ445" s="86">
        <f t="shared" si="580"/>
        <v>0</v>
      </c>
      <c r="BR445" s="86"/>
      <c r="BS445" s="86">
        <f aca="true" t="shared" si="581" ref="BS445:BX445">BS446</f>
        <v>0</v>
      </c>
      <c r="BT445" s="86">
        <f t="shared" si="581"/>
        <v>0</v>
      </c>
      <c r="BU445" s="86">
        <f t="shared" si="581"/>
        <v>84788</v>
      </c>
      <c r="BV445" s="86">
        <f t="shared" si="581"/>
        <v>84788</v>
      </c>
      <c r="BW445" s="86">
        <f t="shared" si="581"/>
        <v>81198</v>
      </c>
      <c r="BX445" s="86">
        <f t="shared" si="581"/>
        <v>81198</v>
      </c>
      <c r="BY445" s="71">
        <f t="shared" si="540"/>
        <v>95.76591027032127</v>
      </c>
      <c r="BZ445" s="71">
        <f>BX445/BV445*100</f>
        <v>95.76591027032127</v>
      </c>
    </row>
    <row r="446" spans="1:78" s="22" customFormat="1" ht="38.25" customHeight="1" hidden="1">
      <c r="A446" s="88" t="s">
        <v>231</v>
      </c>
      <c r="B446" s="89" t="s">
        <v>3</v>
      </c>
      <c r="C446" s="89" t="s">
        <v>135</v>
      </c>
      <c r="D446" s="90" t="s">
        <v>232</v>
      </c>
      <c r="E446" s="67"/>
      <c r="F446" s="86">
        <f aca="true" t="shared" si="582" ref="F446:N446">F449+F451+F453</f>
        <v>0</v>
      </c>
      <c r="G446" s="91">
        <f t="shared" si="582"/>
        <v>80194</v>
      </c>
      <c r="H446" s="91">
        <f t="shared" si="582"/>
        <v>80194</v>
      </c>
      <c r="I446" s="91">
        <f t="shared" si="582"/>
        <v>80194</v>
      </c>
      <c r="J446" s="91">
        <f t="shared" si="582"/>
        <v>0</v>
      </c>
      <c r="K446" s="91">
        <f t="shared" si="582"/>
        <v>0</v>
      </c>
      <c r="L446" s="91">
        <f t="shared" si="582"/>
        <v>0</v>
      </c>
      <c r="M446" s="91">
        <f t="shared" si="582"/>
        <v>80194</v>
      </c>
      <c r="N446" s="91">
        <f t="shared" si="582"/>
        <v>80194</v>
      </c>
      <c r="O446" s="91">
        <f>O449+O451+O453</f>
        <v>0</v>
      </c>
      <c r="P446" s="91"/>
      <c r="Q446" s="91">
        <f>Q449+Q451+Q453</f>
        <v>0</v>
      </c>
      <c r="R446" s="91">
        <f>R449+R451+R453</f>
        <v>0</v>
      </c>
      <c r="S446" s="91">
        <f>S449+S451+S453</f>
        <v>80194</v>
      </c>
      <c r="T446" s="91">
        <f>T449+T451+T453</f>
        <v>80194</v>
      </c>
      <c r="U446" s="91">
        <f aca="true" t="shared" si="583" ref="U446:AC446">U449+U451+U453</f>
        <v>0</v>
      </c>
      <c r="V446" s="91">
        <f t="shared" si="583"/>
        <v>0</v>
      </c>
      <c r="W446" s="91">
        <f t="shared" si="583"/>
        <v>0</v>
      </c>
      <c r="X446" s="91">
        <f t="shared" si="583"/>
        <v>0</v>
      </c>
      <c r="Y446" s="91">
        <f t="shared" si="583"/>
        <v>0</v>
      </c>
      <c r="Z446" s="91">
        <f t="shared" si="583"/>
        <v>0</v>
      </c>
      <c r="AA446" s="91">
        <f t="shared" si="583"/>
        <v>0</v>
      </c>
      <c r="AB446" s="91">
        <f t="shared" si="583"/>
        <v>80194</v>
      </c>
      <c r="AC446" s="91">
        <f t="shared" si="583"/>
        <v>80194</v>
      </c>
      <c r="AD446" s="91">
        <f aca="true" t="shared" si="584" ref="AD446:AJ446">AD449+AD451+AD453</f>
        <v>0</v>
      </c>
      <c r="AE446" s="91">
        <f t="shared" si="584"/>
        <v>0</v>
      </c>
      <c r="AF446" s="91">
        <f t="shared" si="584"/>
        <v>0</v>
      </c>
      <c r="AG446" s="91">
        <f t="shared" si="584"/>
        <v>0</v>
      </c>
      <c r="AH446" s="91">
        <f t="shared" si="584"/>
        <v>0</v>
      </c>
      <c r="AI446" s="91">
        <f t="shared" si="584"/>
        <v>80194</v>
      </c>
      <c r="AJ446" s="91">
        <f t="shared" si="584"/>
        <v>80194</v>
      </c>
      <c r="AK446" s="91">
        <f aca="true" t="shared" si="585" ref="AK446:AS446">AK449+AK451+AK453</f>
        <v>0</v>
      </c>
      <c r="AL446" s="91">
        <f t="shared" si="585"/>
        <v>80194</v>
      </c>
      <c r="AM446" s="91">
        <f t="shared" si="585"/>
        <v>80194</v>
      </c>
      <c r="AN446" s="91">
        <f t="shared" si="585"/>
        <v>0</v>
      </c>
      <c r="AO446" s="91">
        <f>AO449+AO451+AO453</f>
        <v>0</v>
      </c>
      <c r="AP446" s="91">
        <f t="shared" si="585"/>
        <v>0</v>
      </c>
      <c r="AQ446" s="91">
        <f t="shared" si="585"/>
        <v>4594</v>
      </c>
      <c r="AR446" s="91">
        <f t="shared" si="585"/>
        <v>84788</v>
      </c>
      <c r="AS446" s="91">
        <f t="shared" si="585"/>
        <v>84788</v>
      </c>
      <c r="AT446" s="92">
        <f>AT449+AT451+AT453</f>
        <v>0</v>
      </c>
      <c r="AU446" s="92">
        <f>AU449+AU451+AU453</f>
        <v>0</v>
      </c>
      <c r="AV446" s="92">
        <f>AV449+AV451+AV453</f>
        <v>0</v>
      </c>
      <c r="AW446" s="92">
        <f>AW449+AW451+AW453</f>
        <v>84788</v>
      </c>
      <c r="AX446" s="92">
        <f>AX449+AX451+AX453</f>
        <v>84788</v>
      </c>
      <c r="AY446" s="91">
        <f aca="true" t="shared" si="586" ref="AY446:BE446">AY447+AY449+AY451+AY453</f>
        <v>0</v>
      </c>
      <c r="AZ446" s="91">
        <f t="shared" si="586"/>
        <v>0</v>
      </c>
      <c r="BA446" s="91">
        <f t="shared" si="586"/>
        <v>0</v>
      </c>
      <c r="BB446" s="91">
        <f t="shared" si="586"/>
        <v>0</v>
      </c>
      <c r="BC446" s="91">
        <f t="shared" si="586"/>
        <v>0</v>
      </c>
      <c r="BD446" s="91">
        <f t="shared" si="586"/>
        <v>84788</v>
      </c>
      <c r="BE446" s="91">
        <f t="shared" si="586"/>
        <v>84788</v>
      </c>
      <c r="BF446" s="91">
        <f>BF447+BF449+BF451+BF453</f>
        <v>0</v>
      </c>
      <c r="BG446" s="91">
        <f>BG447+BG449+BG451+BG453</f>
        <v>0</v>
      </c>
      <c r="BH446" s="91">
        <f>BH447+BH449+BH451+BH453</f>
        <v>0</v>
      </c>
      <c r="BI446" s="91">
        <f>BI447+BI449+BI451+BI453</f>
        <v>84788</v>
      </c>
      <c r="BJ446" s="91">
        <f>BJ447+BJ449+BJ451+BJ453</f>
        <v>84788</v>
      </c>
      <c r="BK446" s="91">
        <f aca="true" t="shared" si="587" ref="BK446:BP446">BK447+BK449+BK451+BK453</f>
        <v>0</v>
      </c>
      <c r="BL446" s="91">
        <f t="shared" si="587"/>
        <v>0</v>
      </c>
      <c r="BM446" s="91">
        <f t="shared" si="587"/>
        <v>0</v>
      </c>
      <c r="BN446" s="91">
        <f t="shared" si="587"/>
        <v>0</v>
      </c>
      <c r="BO446" s="91">
        <f t="shared" si="587"/>
        <v>84788</v>
      </c>
      <c r="BP446" s="91">
        <f t="shared" si="587"/>
        <v>84788</v>
      </c>
      <c r="BQ446" s="91">
        <f>BQ447+BQ449+BQ451+BQ453</f>
        <v>0</v>
      </c>
      <c r="BR446" s="91"/>
      <c r="BS446" s="91">
        <f aca="true" t="shared" si="588" ref="BS446:BX446">BS447+BS449+BS451+BS453</f>
        <v>0</v>
      </c>
      <c r="BT446" s="91">
        <f t="shared" si="588"/>
        <v>0</v>
      </c>
      <c r="BU446" s="91">
        <f t="shared" si="588"/>
        <v>84788</v>
      </c>
      <c r="BV446" s="91">
        <f t="shared" si="588"/>
        <v>84788</v>
      </c>
      <c r="BW446" s="91">
        <f t="shared" si="588"/>
        <v>81198</v>
      </c>
      <c r="BX446" s="91">
        <f t="shared" si="588"/>
        <v>81198</v>
      </c>
      <c r="BY446" s="77">
        <f t="shared" si="540"/>
        <v>95.76591027032127</v>
      </c>
      <c r="BZ446" s="77">
        <f t="shared" si="540"/>
        <v>95.76591027032127</v>
      </c>
    </row>
    <row r="447" spans="1:78" s="22" customFormat="1" ht="54.75" customHeight="1" hidden="1">
      <c r="A447" s="88" t="s">
        <v>344</v>
      </c>
      <c r="B447" s="89" t="s">
        <v>3</v>
      </c>
      <c r="C447" s="89" t="s">
        <v>135</v>
      </c>
      <c r="D447" s="90" t="s">
        <v>343</v>
      </c>
      <c r="E447" s="67"/>
      <c r="F447" s="86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2"/>
      <c r="AU447" s="92"/>
      <c r="AV447" s="92"/>
      <c r="AW447" s="92"/>
      <c r="AX447" s="92"/>
      <c r="AY447" s="91">
        <f aca="true" t="shared" si="589" ref="AY447:BX447">AY448</f>
        <v>0</v>
      </c>
      <c r="AZ447" s="91">
        <f t="shared" si="589"/>
        <v>0</v>
      </c>
      <c r="BA447" s="91">
        <f t="shared" si="589"/>
        <v>0</v>
      </c>
      <c r="BB447" s="91">
        <f t="shared" si="589"/>
        <v>0</v>
      </c>
      <c r="BC447" s="91">
        <f t="shared" si="589"/>
        <v>84788</v>
      </c>
      <c r="BD447" s="91">
        <f t="shared" si="589"/>
        <v>84788</v>
      </c>
      <c r="BE447" s="91">
        <f t="shared" si="589"/>
        <v>84788</v>
      </c>
      <c r="BF447" s="91">
        <f t="shared" si="589"/>
        <v>0</v>
      </c>
      <c r="BG447" s="91">
        <f t="shared" si="589"/>
        <v>0</v>
      </c>
      <c r="BH447" s="91">
        <f t="shared" si="589"/>
        <v>0</v>
      </c>
      <c r="BI447" s="91">
        <f t="shared" si="589"/>
        <v>84788</v>
      </c>
      <c r="BJ447" s="91">
        <f t="shared" si="589"/>
        <v>84788</v>
      </c>
      <c r="BK447" s="91">
        <f t="shared" si="589"/>
        <v>0</v>
      </c>
      <c r="BL447" s="91">
        <f t="shared" si="589"/>
        <v>0</v>
      </c>
      <c r="BM447" s="91">
        <f t="shared" si="589"/>
        <v>0</v>
      </c>
      <c r="BN447" s="91">
        <f t="shared" si="589"/>
        <v>0</v>
      </c>
      <c r="BO447" s="91">
        <f t="shared" si="589"/>
        <v>84788</v>
      </c>
      <c r="BP447" s="91">
        <f t="shared" si="589"/>
        <v>84788</v>
      </c>
      <c r="BQ447" s="91">
        <f t="shared" si="589"/>
        <v>0</v>
      </c>
      <c r="BR447" s="91"/>
      <c r="BS447" s="91">
        <f t="shared" si="589"/>
        <v>0</v>
      </c>
      <c r="BT447" s="91">
        <f t="shared" si="589"/>
        <v>0</v>
      </c>
      <c r="BU447" s="91">
        <f t="shared" si="589"/>
        <v>84788</v>
      </c>
      <c r="BV447" s="91">
        <f t="shared" si="589"/>
        <v>84788</v>
      </c>
      <c r="BW447" s="91">
        <f t="shared" si="589"/>
        <v>81198</v>
      </c>
      <c r="BX447" s="91">
        <f t="shared" si="589"/>
        <v>81198</v>
      </c>
      <c r="BY447" s="77">
        <f t="shared" si="540"/>
        <v>95.76591027032127</v>
      </c>
      <c r="BZ447" s="77">
        <f t="shared" si="540"/>
        <v>95.76591027032127</v>
      </c>
    </row>
    <row r="448" spans="1:78" s="22" customFormat="1" ht="23.25" customHeight="1" hidden="1">
      <c r="A448" s="88" t="s">
        <v>11</v>
      </c>
      <c r="B448" s="89" t="s">
        <v>3</v>
      </c>
      <c r="C448" s="89" t="s">
        <v>135</v>
      </c>
      <c r="D448" s="90" t="s">
        <v>343</v>
      </c>
      <c r="E448" s="89" t="s">
        <v>18</v>
      </c>
      <c r="F448" s="86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2"/>
      <c r="AU448" s="92"/>
      <c r="AV448" s="92"/>
      <c r="AW448" s="92"/>
      <c r="AX448" s="92"/>
      <c r="AY448" s="91"/>
      <c r="AZ448" s="91"/>
      <c r="BA448" s="91"/>
      <c r="BB448" s="91"/>
      <c r="BC448" s="91">
        <v>84788</v>
      </c>
      <c r="BD448" s="75">
        <f>AW448+AY448+AZ448+BA448+BB448+BC448</f>
        <v>84788</v>
      </c>
      <c r="BE448" s="75">
        <f>AX448+BC448</f>
        <v>84788</v>
      </c>
      <c r="BF448" s="185"/>
      <c r="BG448" s="185"/>
      <c r="BH448" s="185"/>
      <c r="BI448" s="75">
        <f>BD448+BF448+BG448+BH448</f>
        <v>84788</v>
      </c>
      <c r="BJ448" s="75">
        <f>BE448+BH448</f>
        <v>84788</v>
      </c>
      <c r="BK448" s="188"/>
      <c r="BL448" s="188"/>
      <c r="BM448" s="188"/>
      <c r="BN448" s="188"/>
      <c r="BO448" s="75">
        <f>BI448+BK448+BL448+BM448+BN448</f>
        <v>84788</v>
      </c>
      <c r="BP448" s="75">
        <f>BJ448+BN448</f>
        <v>84788</v>
      </c>
      <c r="BQ448" s="185"/>
      <c r="BR448" s="185"/>
      <c r="BS448" s="185"/>
      <c r="BT448" s="78"/>
      <c r="BU448" s="75">
        <f>BO448+BQ448+BS448+BT448</f>
        <v>84788</v>
      </c>
      <c r="BV448" s="75">
        <f>BP448+BT448</f>
        <v>84788</v>
      </c>
      <c r="BW448" s="75">
        <v>81198</v>
      </c>
      <c r="BX448" s="75">
        <v>81198</v>
      </c>
      <c r="BY448" s="77">
        <f t="shared" si="540"/>
        <v>95.76591027032127</v>
      </c>
      <c r="BZ448" s="77">
        <f t="shared" si="540"/>
        <v>95.76591027032127</v>
      </c>
    </row>
    <row r="449" spans="1:78" s="22" customFormat="1" ht="36" customHeight="1" hidden="1">
      <c r="A449" s="88" t="s">
        <v>233</v>
      </c>
      <c r="B449" s="89" t="s">
        <v>3</v>
      </c>
      <c r="C449" s="89" t="s">
        <v>135</v>
      </c>
      <c r="D449" s="90" t="s">
        <v>234</v>
      </c>
      <c r="E449" s="89"/>
      <c r="F449" s="86">
        <f aca="true" t="shared" si="590" ref="F449:BE449">F450</f>
        <v>0</v>
      </c>
      <c r="G449" s="91">
        <f t="shared" si="590"/>
        <v>10780</v>
      </c>
      <c r="H449" s="91">
        <f t="shared" si="590"/>
        <v>10780</v>
      </c>
      <c r="I449" s="91">
        <f t="shared" si="590"/>
        <v>10780</v>
      </c>
      <c r="J449" s="91">
        <f t="shared" si="590"/>
        <v>0</v>
      </c>
      <c r="K449" s="91">
        <f t="shared" si="590"/>
        <v>0</v>
      </c>
      <c r="L449" s="91">
        <f t="shared" si="590"/>
        <v>0</v>
      </c>
      <c r="M449" s="91">
        <f t="shared" si="590"/>
        <v>10780</v>
      </c>
      <c r="N449" s="91">
        <f t="shared" si="590"/>
        <v>10780</v>
      </c>
      <c r="O449" s="91">
        <f t="shared" si="590"/>
        <v>0</v>
      </c>
      <c r="P449" s="91"/>
      <c r="Q449" s="91">
        <f t="shared" si="590"/>
        <v>0</v>
      </c>
      <c r="R449" s="91">
        <f t="shared" si="590"/>
        <v>0</v>
      </c>
      <c r="S449" s="91">
        <f t="shared" si="590"/>
        <v>10780</v>
      </c>
      <c r="T449" s="91">
        <f t="shared" si="590"/>
        <v>10780</v>
      </c>
      <c r="U449" s="91">
        <f t="shared" si="590"/>
        <v>0</v>
      </c>
      <c r="V449" s="91">
        <f t="shared" si="590"/>
        <v>0</v>
      </c>
      <c r="W449" s="91">
        <f t="shared" si="590"/>
        <v>0</v>
      </c>
      <c r="X449" s="91">
        <f t="shared" si="590"/>
        <v>0</v>
      </c>
      <c r="Y449" s="91">
        <f t="shared" si="590"/>
        <v>0</v>
      </c>
      <c r="Z449" s="91">
        <f t="shared" si="590"/>
        <v>0</v>
      </c>
      <c r="AA449" s="91">
        <f t="shared" si="590"/>
        <v>0</v>
      </c>
      <c r="AB449" s="91">
        <f t="shared" si="590"/>
        <v>10780</v>
      </c>
      <c r="AC449" s="91">
        <f t="shared" si="590"/>
        <v>10780</v>
      </c>
      <c r="AD449" s="91">
        <f t="shared" si="590"/>
        <v>0</v>
      </c>
      <c r="AE449" s="91">
        <f t="shared" si="590"/>
        <v>0</v>
      </c>
      <c r="AF449" s="91">
        <f t="shared" si="590"/>
        <v>0</v>
      </c>
      <c r="AG449" s="91">
        <f t="shared" si="590"/>
        <v>0</v>
      </c>
      <c r="AH449" s="91">
        <f t="shared" si="590"/>
        <v>0</v>
      </c>
      <c r="AI449" s="91">
        <f t="shared" si="590"/>
        <v>10780</v>
      </c>
      <c r="AJ449" s="91">
        <f t="shared" si="590"/>
        <v>10780</v>
      </c>
      <c r="AK449" s="91">
        <f t="shared" si="590"/>
        <v>0</v>
      </c>
      <c r="AL449" s="91">
        <f t="shared" si="590"/>
        <v>10780</v>
      </c>
      <c r="AM449" s="91">
        <f t="shared" si="590"/>
        <v>10780</v>
      </c>
      <c r="AN449" s="91">
        <f t="shared" si="590"/>
        <v>0</v>
      </c>
      <c r="AO449" s="91">
        <f t="shared" si="590"/>
        <v>0</v>
      </c>
      <c r="AP449" s="91">
        <f t="shared" si="590"/>
        <v>0</v>
      </c>
      <c r="AQ449" s="91">
        <f t="shared" si="590"/>
        <v>1186</v>
      </c>
      <c r="AR449" s="91">
        <f t="shared" si="590"/>
        <v>11966</v>
      </c>
      <c r="AS449" s="91">
        <f t="shared" si="590"/>
        <v>11966</v>
      </c>
      <c r="AT449" s="92">
        <f t="shared" si="590"/>
        <v>0</v>
      </c>
      <c r="AU449" s="92">
        <f t="shared" si="590"/>
        <v>0</v>
      </c>
      <c r="AV449" s="92">
        <f t="shared" si="590"/>
        <v>0</v>
      </c>
      <c r="AW449" s="92">
        <f t="shared" si="590"/>
        <v>11966</v>
      </c>
      <c r="AX449" s="92">
        <f t="shared" si="590"/>
        <v>11966</v>
      </c>
      <c r="AY449" s="91">
        <f t="shared" si="590"/>
        <v>0</v>
      </c>
      <c r="AZ449" s="91"/>
      <c r="BA449" s="91"/>
      <c r="BB449" s="91"/>
      <c r="BC449" s="91">
        <f t="shared" si="590"/>
        <v>-11966</v>
      </c>
      <c r="BD449" s="91">
        <f t="shared" si="590"/>
        <v>0</v>
      </c>
      <c r="BE449" s="91">
        <f t="shared" si="590"/>
        <v>0</v>
      </c>
      <c r="BF449" s="185"/>
      <c r="BG449" s="185"/>
      <c r="BH449" s="185"/>
      <c r="BI449" s="185"/>
      <c r="BJ449" s="185"/>
      <c r="BK449" s="188"/>
      <c r="BL449" s="188"/>
      <c r="BM449" s="188"/>
      <c r="BN449" s="188"/>
      <c r="BO449" s="188"/>
      <c r="BP449" s="188"/>
      <c r="BQ449" s="185"/>
      <c r="BR449" s="185"/>
      <c r="BS449" s="185"/>
      <c r="BT449" s="185"/>
      <c r="BU449" s="185"/>
      <c r="BV449" s="185"/>
      <c r="BW449" s="185"/>
      <c r="BX449" s="185"/>
      <c r="BY449" s="72" t="e">
        <f t="shared" si="540"/>
        <v>#DIV/0!</v>
      </c>
      <c r="BZ449" s="72" t="e">
        <f aca="true" t="shared" si="591" ref="BZ449:BZ454">BX449/BV449*100</f>
        <v>#DIV/0!</v>
      </c>
    </row>
    <row r="450" spans="1:78" s="22" customFormat="1" ht="19.5" customHeight="1" hidden="1">
      <c r="A450" s="88" t="s">
        <v>11</v>
      </c>
      <c r="B450" s="89" t="s">
        <v>3</v>
      </c>
      <c r="C450" s="89" t="s">
        <v>135</v>
      </c>
      <c r="D450" s="90" t="s">
        <v>234</v>
      </c>
      <c r="E450" s="89" t="s">
        <v>18</v>
      </c>
      <c r="F450" s="86"/>
      <c r="G450" s="75">
        <f>H450-F450</f>
        <v>10780</v>
      </c>
      <c r="H450" s="91">
        <f>10780</f>
        <v>10780</v>
      </c>
      <c r="I450" s="91">
        <f>10780</f>
        <v>10780</v>
      </c>
      <c r="J450" s="184"/>
      <c r="K450" s="184"/>
      <c r="L450" s="184"/>
      <c r="M450" s="75">
        <f>H450+J450+K450+L450</f>
        <v>10780</v>
      </c>
      <c r="N450" s="75">
        <f>I450+L450</f>
        <v>10780</v>
      </c>
      <c r="O450" s="184"/>
      <c r="P450" s="184"/>
      <c r="Q450" s="185"/>
      <c r="R450" s="185"/>
      <c r="S450" s="75">
        <f>M450+O450+P450+Q450+R450</f>
        <v>10780</v>
      </c>
      <c r="T450" s="75">
        <f>N450+R450</f>
        <v>10780</v>
      </c>
      <c r="U450" s="185"/>
      <c r="V450" s="185"/>
      <c r="W450" s="185"/>
      <c r="X450" s="185"/>
      <c r="Y450" s="185"/>
      <c r="Z450" s="185"/>
      <c r="AA450" s="185"/>
      <c r="AB450" s="75">
        <f>S450+U450+V450+W450+X450+Y450+Z450+AA450</f>
        <v>10780</v>
      </c>
      <c r="AC450" s="75">
        <f>T450+Z450+AA450</f>
        <v>10780</v>
      </c>
      <c r="AD450" s="184"/>
      <c r="AE450" s="184"/>
      <c r="AF450" s="184"/>
      <c r="AG450" s="184"/>
      <c r="AH450" s="184"/>
      <c r="AI450" s="75">
        <f>AB450+AD450+AE450+AF450+AG450+AH450</f>
        <v>10780</v>
      </c>
      <c r="AJ450" s="75">
        <f>AC450+AH450</f>
        <v>10780</v>
      </c>
      <c r="AK450" s="185"/>
      <c r="AL450" s="75">
        <f>AI450+AK450</f>
        <v>10780</v>
      </c>
      <c r="AM450" s="75">
        <f>AJ450</f>
        <v>10780</v>
      </c>
      <c r="AN450" s="185"/>
      <c r="AO450" s="185"/>
      <c r="AP450" s="185"/>
      <c r="AQ450" s="75">
        <v>1186</v>
      </c>
      <c r="AR450" s="75">
        <f>AL450+AN450+AO450+AP450+AQ450</f>
        <v>11966</v>
      </c>
      <c r="AS450" s="75">
        <f>AM450+AQ450</f>
        <v>11966</v>
      </c>
      <c r="AT450" s="76"/>
      <c r="AU450" s="76"/>
      <c r="AV450" s="76"/>
      <c r="AW450" s="76">
        <f>AV450+AU450+AT450+AR450</f>
        <v>11966</v>
      </c>
      <c r="AX450" s="76">
        <f>AV450+AS450</f>
        <v>11966</v>
      </c>
      <c r="AY450" s="184"/>
      <c r="AZ450" s="75"/>
      <c r="BA450" s="75"/>
      <c r="BB450" s="75"/>
      <c r="BC450" s="75">
        <v>-11966</v>
      </c>
      <c r="BD450" s="75">
        <f>AW450+AY450+AZ450+BC450</f>
        <v>0</v>
      </c>
      <c r="BE450" s="75">
        <f>AX450+BC450</f>
        <v>0</v>
      </c>
      <c r="BF450" s="185"/>
      <c r="BG450" s="185"/>
      <c r="BH450" s="185"/>
      <c r="BI450" s="185"/>
      <c r="BJ450" s="185"/>
      <c r="BK450" s="188"/>
      <c r="BL450" s="188"/>
      <c r="BM450" s="188"/>
      <c r="BN450" s="188"/>
      <c r="BO450" s="188"/>
      <c r="BP450" s="188"/>
      <c r="BQ450" s="185"/>
      <c r="BR450" s="185"/>
      <c r="BS450" s="185"/>
      <c r="BT450" s="185"/>
      <c r="BU450" s="185"/>
      <c r="BV450" s="185"/>
      <c r="BW450" s="185"/>
      <c r="BX450" s="185"/>
      <c r="BY450" s="72" t="e">
        <f t="shared" si="540"/>
        <v>#DIV/0!</v>
      </c>
      <c r="BZ450" s="72" t="e">
        <f t="shared" si="591"/>
        <v>#DIV/0!</v>
      </c>
    </row>
    <row r="451" spans="1:78" s="22" customFormat="1" ht="29.25" customHeight="1" hidden="1">
      <c r="A451" s="88" t="s">
        <v>235</v>
      </c>
      <c r="B451" s="89" t="s">
        <v>3</v>
      </c>
      <c r="C451" s="89" t="s">
        <v>135</v>
      </c>
      <c r="D451" s="90" t="s">
        <v>236</v>
      </c>
      <c r="E451" s="89"/>
      <c r="F451" s="86">
        <f aca="true" t="shared" si="592" ref="F451:BE451">F452</f>
        <v>0</v>
      </c>
      <c r="G451" s="91">
        <f t="shared" si="592"/>
        <v>7350</v>
      </c>
      <c r="H451" s="91">
        <f t="shared" si="592"/>
        <v>7350</v>
      </c>
      <c r="I451" s="91">
        <f t="shared" si="592"/>
        <v>7350</v>
      </c>
      <c r="J451" s="91">
        <f t="shared" si="592"/>
        <v>0</v>
      </c>
      <c r="K451" s="91">
        <f t="shared" si="592"/>
        <v>0</v>
      </c>
      <c r="L451" s="91">
        <f t="shared" si="592"/>
        <v>0</v>
      </c>
      <c r="M451" s="91">
        <f t="shared" si="592"/>
        <v>7350</v>
      </c>
      <c r="N451" s="91">
        <f t="shared" si="592"/>
        <v>7350</v>
      </c>
      <c r="O451" s="91">
        <f t="shared" si="592"/>
        <v>0</v>
      </c>
      <c r="P451" s="91"/>
      <c r="Q451" s="91">
        <f t="shared" si="592"/>
        <v>0</v>
      </c>
      <c r="R451" s="91">
        <f t="shared" si="592"/>
        <v>0</v>
      </c>
      <c r="S451" s="91">
        <f t="shared" si="592"/>
        <v>7350</v>
      </c>
      <c r="T451" s="91">
        <f t="shared" si="592"/>
        <v>7350</v>
      </c>
      <c r="U451" s="91">
        <f t="shared" si="592"/>
        <v>0</v>
      </c>
      <c r="V451" s="91">
        <f t="shared" si="592"/>
        <v>0</v>
      </c>
      <c r="W451" s="91">
        <f t="shared" si="592"/>
        <v>0</v>
      </c>
      <c r="X451" s="91">
        <f t="shared" si="592"/>
        <v>0</v>
      </c>
      <c r="Y451" s="91">
        <f t="shared" si="592"/>
        <v>0</v>
      </c>
      <c r="Z451" s="91">
        <f t="shared" si="592"/>
        <v>0</v>
      </c>
      <c r="AA451" s="91">
        <f t="shared" si="592"/>
        <v>0</v>
      </c>
      <c r="AB451" s="91">
        <f t="shared" si="592"/>
        <v>7350</v>
      </c>
      <c r="AC451" s="91">
        <f t="shared" si="592"/>
        <v>7350</v>
      </c>
      <c r="AD451" s="91">
        <f t="shared" si="592"/>
        <v>0</v>
      </c>
      <c r="AE451" s="91">
        <f t="shared" si="592"/>
        <v>0</v>
      </c>
      <c r="AF451" s="91">
        <f t="shared" si="592"/>
        <v>0</v>
      </c>
      <c r="AG451" s="91">
        <f t="shared" si="592"/>
        <v>0</v>
      </c>
      <c r="AH451" s="91">
        <f t="shared" si="592"/>
        <v>0</v>
      </c>
      <c r="AI451" s="91">
        <f t="shared" si="592"/>
        <v>7350</v>
      </c>
      <c r="AJ451" s="91">
        <f t="shared" si="592"/>
        <v>7350</v>
      </c>
      <c r="AK451" s="91">
        <f t="shared" si="592"/>
        <v>0</v>
      </c>
      <c r="AL451" s="91">
        <f t="shared" si="592"/>
        <v>7350</v>
      </c>
      <c r="AM451" s="91">
        <f t="shared" si="592"/>
        <v>7350</v>
      </c>
      <c r="AN451" s="91">
        <f t="shared" si="592"/>
        <v>0</v>
      </c>
      <c r="AO451" s="91">
        <f t="shared" si="592"/>
        <v>0</v>
      </c>
      <c r="AP451" s="91">
        <f t="shared" si="592"/>
        <v>0</v>
      </c>
      <c r="AQ451" s="91">
        <f t="shared" si="592"/>
        <v>1987</v>
      </c>
      <c r="AR451" s="91">
        <f t="shared" si="592"/>
        <v>9337</v>
      </c>
      <c r="AS451" s="91">
        <f t="shared" si="592"/>
        <v>9337</v>
      </c>
      <c r="AT451" s="92">
        <f t="shared" si="592"/>
        <v>0</v>
      </c>
      <c r="AU451" s="92">
        <f t="shared" si="592"/>
        <v>0</v>
      </c>
      <c r="AV451" s="92">
        <f t="shared" si="592"/>
        <v>0</v>
      </c>
      <c r="AW451" s="92">
        <f t="shared" si="592"/>
        <v>9337</v>
      </c>
      <c r="AX451" s="92">
        <f t="shared" si="592"/>
        <v>9337</v>
      </c>
      <c r="AY451" s="91">
        <f t="shared" si="592"/>
        <v>0</v>
      </c>
      <c r="AZ451" s="91"/>
      <c r="BA451" s="91"/>
      <c r="BB451" s="91"/>
      <c r="BC451" s="91">
        <f t="shared" si="592"/>
        <v>-9337</v>
      </c>
      <c r="BD451" s="91">
        <f t="shared" si="592"/>
        <v>0</v>
      </c>
      <c r="BE451" s="91">
        <f t="shared" si="592"/>
        <v>0</v>
      </c>
      <c r="BF451" s="185"/>
      <c r="BG451" s="185"/>
      <c r="BH451" s="185"/>
      <c r="BI451" s="185"/>
      <c r="BJ451" s="185"/>
      <c r="BK451" s="188"/>
      <c r="BL451" s="188"/>
      <c r="BM451" s="188"/>
      <c r="BN451" s="188"/>
      <c r="BO451" s="188"/>
      <c r="BP451" s="188"/>
      <c r="BQ451" s="185"/>
      <c r="BR451" s="185"/>
      <c r="BS451" s="185"/>
      <c r="BT451" s="185"/>
      <c r="BU451" s="185"/>
      <c r="BV451" s="185"/>
      <c r="BW451" s="185"/>
      <c r="BX451" s="185"/>
      <c r="BY451" s="72" t="e">
        <f t="shared" si="540"/>
        <v>#DIV/0!</v>
      </c>
      <c r="BZ451" s="72" t="e">
        <f t="shared" si="591"/>
        <v>#DIV/0!</v>
      </c>
    </row>
    <row r="452" spans="1:78" s="22" customFormat="1" ht="21" customHeight="1" hidden="1">
      <c r="A452" s="88" t="s">
        <v>11</v>
      </c>
      <c r="B452" s="89" t="s">
        <v>3</v>
      </c>
      <c r="C452" s="89" t="s">
        <v>135</v>
      </c>
      <c r="D452" s="90" t="s">
        <v>236</v>
      </c>
      <c r="E452" s="89" t="s">
        <v>18</v>
      </c>
      <c r="F452" s="86"/>
      <c r="G452" s="75">
        <f>H452-F452</f>
        <v>7350</v>
      </c>
      <c r="H452" s="91">
        <f>7350</f>
        <v>7350</v>
      </c>
      <c r="I452" s="91">
        <f>7350</f>
        <v>7350</v>
      </c>
      <c r="J452" s="184"/>
      <c r="K452" s="184"/>
      <c r="L452" s="184"/>
      <c r="M452" s="75">
        <f>H452+J452+K452+L452</f>
        <v>7350</v>
      </c>
      <c r="N452" s="75">
        <f>I452+L452</f>
        <v>7350</v>
      </c>
      <c r="O452" s="184"/>
      <c r="P452" s="184"/>
      <c r="Q452" s="185"/>
      <c r="R452" s="185"/>
      <c r="S452" s="75">
        <f>M452+O452+P452+Q452+R452</f>
        <v>7350</v>
      </c>
      <c r="T452" s="75">
        <f>N452+R452</f>
        <v>7350</v>
      </c>
      <c r="U452" s="185"/>
      <c r="V452" s="185"/>
      <c r="W452" s="185"/>
      <c r="X452" s="185"/>
      <c r="Y452" s="185"/>
      <c r="Z452" s="185"/>
      <c r="AA452" s="185"/>
      <c r="AB452" s="75">
        <f>S452+U452+V452+W452+X452+Y452+Z452+AA452</f>
        <v>7350</v>
      </c>
      <c r="AC452" s="75">
        <f>T452+Z452+AA452</f>
        <v>7350</v>
      </c>
      <c r="AD452" s="184"/>
      <c r="AE452" s="184"/>
      <c r="AF452" s="184"/>
      <c r="AG452" s="184"/>
      <c r="AH452" s="184"/>
      <c r="AI452" s="75">
        <f>AB452+AD452+AE452+AF452+AG452+AH452</f>
        <v>7350</v>
      </c>
      <c r="AJ452" s="75">
        <f>AC452+AH452</f>
        <v>7350</v>
      </c>
      <c r="AK452" s="185"/>
      <c r="AL452" s="75">
        <f>AI452+AK452</f>
        <v>7350</v>
      </c>
      <c r="AM452" s="75">
        <f>AJ452</f>
        <v>7350</v>
      </c>
      <c r="AN452" s="185"/>
      <c r="AO452" s="185"/>
      <c r="AP452" s="185"/>
      <c r="AQ452" s="75">
        <v>1987</v>
      </c>
      <c r="AR452" s="75">
        <f>AL452+AN452+AO452+AP452+AQ452</f>
        <v>9337</v>
      </c>
      <c r="AS452" s="75">
        <f>AM452+AQ452</f>
        <v>9337</v>
      </c>
      <c r="AT452" s="76"/>
      <c r="AU452" s="76"/>
      <c r="AV452" s="76"/>
      <c r="AW452" s="76">
        <f>AV452+AU452+AT452+AR452</f>
        <v>9337</v>
      </c>
      <c r="AX452" s="76">
        <f>AV452+AS452</f>
        <v>9337</v>
      </c>
      <c r="AY452" s="184"/>
      <c r="AZ452" s="75"/>
      <c r="BA452" s="75"/>
      <c r="BB452" s="75"/>
      <c r="BC452" s="75">
        <v>-9337</v>
      </c>
      <c r="BD452" s="75">
        <f>AW452+AY452+AZ452+BC452</f>
        <v>0</v>
      </c>
      <c r="BE452" s="75">
        <f>AX452+BC452</f>
        <v>0</v>
      </c>
      <c r="BF452" s="185"/>
      <c r="BG452" s="185"/>
      <c r="BH452" s="185"/>
      <c r="BI452" s="185"/>
      <c r="BJ452" s="185"/>
      <c r="BK452" s="188"/>
      <c r="BL452" s="188"/>
      <c r="BM452" s="188"/>
      <c r="BN452" s="188"/>
      <c r="BO452" s="188"/>
      <c r="BP452" s="188"/>
      <c r="BQ452" s="185"/>
      <c r="BR452" s="185"/>
      <c r="BS452" s="185"/>
      <c r="BT452" s="185"/>
      <c r="BU452" s="185"/>
      <c r="BV452" s="185"/>
      <c r="BW452" s="185"/>
      <c r="BX452" s="185"/>
      <c r="BY452" s="72" t="e">
        <f t="shared" si="540"/>
        <v>#DIV/0!</v>
      </c>
      <c r="BZ452" s="72" t="e">
        <f t="shared" si="591"/>
        <v>#DIV/0!</v>
      </c>
    </row>
    <row r="453" spans="1:78" s="22" customFormat="1" ht="40.5" customHeight="1" hidden="1">
      <c r="A453" s="88" t="s">
        <v>237</v>
      </c>
      <c r="B453" s="89" t="s">
        <v>3</v>
      </c>
      <c r="C453" s="89" t="s">
        <v>135</v>
      </c>
      <c r="D453" s="90" t="s">
        <v>238</v>
      </c>
      <c r="E453" s="89"/>
      <c r="F453" s="86">
        <f aca="true" t="shared" si="593" ref="F453:BE453">F454</f>
        <v>0</v>
      </c>
      <c r="G453" s="91">
        <f t="shared" si="593"/>
        <v>62064</v>
      </c>
      <c r="H453" s="91">
        <f t="shared" si="593"/>
        <v>62064</v>
      </c>
      <c r="I453" s="91">
        <f t="shared" si="593"/>
        <v>62064</v>
      </c>
      <c r="J453" s="91">
        <f t="shared" si="593"/>
        <v>0</v>
      </c>
      <c r="K453" s="91">
        <f t="shared" si="593"/>
        <v>0</v>
      </c>
      <c r="L453" s="91">
        <f t="shared" si="593"/>
        <v>0</v>
      </c>
      <c r="M453" s="91">
        <f t="shared" si="593"/>
        <v>62064</v>
      </c>
      <c r="N453" s="91">
        <f t="shared" si="593"/>
        <v>62064</v>
      </c>
      <c r="O453" s="91">
        <f t="shared" si="593"/>
        <v>0</v>
      </c>
      <c r="P453" s="91"/>
      <c r="Q453" s="91">
        <f t="shared" si="593"/>
        <v>0</v>
      </c>
      <c r="R453" s="91">
        <f t="shared" si="593"/>
        <v>0</v>
      </c>
      <c r="S453" s="91">
        <f t="shared" si="593"/>
        <v>62064</v>
      </c>
      <c r="T453" s="91">
        <f t="shared" si="593"/>
        <v>62064</v>
      </c>
      <c r="U453" s="91">
        <f t="shared" si="593"/>
        <v>0</v>
      </c>
      <c r="V453" s="91">
        <f t="shared" si="593"/>
        <v>0</v>
      </c>
      <c r="W453" s="91">
        <f t="shared" si="593"/>
        <v>0</v>
      </c>
      <c r="X453" s="91">
        <f t="shared" si="593"/>
        <v>0</v>
      </c>
      <c r="Y453" s="91">
        <f t="shared" si="593"/>
        <v>0</v>
      </c>
      <c r="Z453" s="91">
        <f t="shared" si="593"/>
        <v>0</v>
      </c>
      <c r="AA453" s="91">
        <f t="shared" si="593"/>
        <v>0</v>
      </c>
      <c r="AB453" s="91">
        <f t="shared" si="593"/>
        <v>62064</v>
      </c>
      <c r="AC453" s="91">
        <f t="shared" si="593"/>
        <v>62064</v>
      </c>
      <c r="AD453" s="91">
        <f t="shared" si="593"/>
        <v>0</v>
      </c>
      <c r="AE453" s="91">
        <f t="shared" si="593"/>
        <v>0</v>
      </c>
      <c r="AF453" s="91">
        <f t="shared" si="593"/>
        <v>0</v>
      </c>
      <c r="AG453" s="91">
        <f t="shared" si="593"/>
        <v>0</v>
      </c>
      <c r="AH453" s="91">
        <f t="shared" si="593"/>
        <v>0</v>
      </c>
      <c r="AI453" s="91">
        <f t="shared" si="593"/>
        <v>62064</v>
      </c>
      <c r="AJ453" s="91">
        <f t="shared" si="593"/>
        <v>62064</v>
      </c>
      <c r="AK453" s="91">
        <f t="shared" si="593"/>
        <v>0</v>
      </c>
      <c r="AL453" s="91">
        <f t="shared" si="593"/>
        <v>62064</v>
      </c>
      <c r="AM453" s="91">
        <f t="shared" si="593"/>
        <v>62064</v>
      </c>
      <c r="AN453" s="91">
        <f t="shared" si="593"/>
        <v>0</v>
      </c>
      <c r="AO453" s="91">
        <f t="shared" si="593"/>
        <v>0</v>
      </c>
      <c r="AP453" s="91">
        <f t="shared" si="593"/>
        <v>0</v>
      </c>
      <c r="AQ453" s="91">
        <f t="shared" si="593"/>
        <v>1421</v>
      </c>
      <c r="AR453" s="91">
        <f t="shared" si="593"/>
        <v>63485</v>
      </c>
      <c r="AS453" s="91">
        <f t="shared" si="593"/>
        <v>63485</v>
      </c>
      <c r="AT453" s="92">
        <f t="shared" si="593"/>
        <v>0</v>
      </c>
      <c r="AU453" s="92">
        <f t="shared" si="593"/>
        <v>0</v>
      </c>
      <c r="AV453" s="92">
        <f t="shared" si="593"/>
        <v>0</v>
      </c>
      <c r="AW453" s="92">
        <f t="shared" si="593"/>
        <v>63485</v>
      </c>
      <c r="AX453" s="92">
        <f t="shared" si="593"/>
        <v>63485</v>
      </c>
      <c r="AY453" s="91">
        <f t="shared" si="593"/>
        <v>0</v>
      </c>
      <c r="AZ453" s="91"/>
      <c r="BA453" s="91"/>
      <c r="BB453" s="91"/>
      <c r="BC453" s="91">
        <f t="shared" si="593"/>
        <v>-63485</v>
      </c>
      <c r="BD453" s="91">
        <f t="shared" si="593"/>
        <v>0</v>
      </c>
      <c r="BE453" s="91">
        <f t="shared" si="593"/>
        <v>0</v>
      </c>
      <c r="BF453" s="185"/>
      <c r="BG453" s="185"/>
      <c r="BH453" s="185"/>
      <c r="BI453" s="185"/>
      <c r="BJ453" s="185"/>
      <c r="BK453" s="188"/>
      <c r="BL453" s="188"/>
      <c r="BM453" s="188"/>
      <c r="BN453" s="188"/>
      <c r="BO453" s="188"/>
      <c r="BP453" s="188"/>
      <c r="BQ453" s="185"/>
      <c r="BR453" s="185"/>
      <c r="BS453" s="185"/>
      <c r="BT453" s="185"/>
      <c r="BU453" s="185"/>
      <c r="BV453" s="185"/>
      <c r="BW453" s="185"/>
      <c r="BX453" s="185"/>
      <c r="BY453" s="72" t="e">
        <f t="shared" si="540"/>
        <v>#DIV/0!</v>
      </c>
      <c r="BZ453" s="72" t="e">
        <f t="shared" si="591"/>
        <v>#DIV/0!</v>
      </c>
    </row>
    <row r="454" spans="1:78" s="22" customFormat="1" ht="20.25" customHeight="1" hidden="1">
      <c r="A454" s="88" t="s">
        <v>11</v>
      </c>
      <c r="B454" s="89" t="s">
        <v>3</v>
      </c>
      <c r="C454" s="89" t="s">
        <v>135</v>
      </c>
      <c r="D454" s="90" t="s">
        <v>238</v>
      </c>
      <c r="E454" s="89" t="s">
        <v>18</v>
      </c>
      <c r="F454" s="86"/>
      <c r="G454" s="75">
        <f>H454-F454</f>
        <v>62064</v>
      </c>
      <c r="H454" s="91">
        <v>62064</v>
      </c>
      <c r="I454" s="91">
        <v>62064</v>
      </c>
      <c r="J454" s="184"/>
      <c r="K454" s="184"/>
      <c r="L454" s="184"/>
      <c r="M454" s="75">
        <f>H454+J454+K454+L454</f>
        <v>62064</v>
      </c>
      <c r="N454" s="75">
        <f>I454+L454</f>
        <v>62064</v>
      </c>
      <c r="O454" s="184"/>
      <c r="P454" s="184"/>
      <c r="Q454" s="185"/>
      <c r="R454" s="185"/>
      <c r="S454" s="75">
        <f>M454+O454+P454+Q454+R454</f>
        <v>62064</v>
      </c>
      <c r="T454" s="75">
        <f>N454+R454</f>
        <v>62064</v>
      </c>
      <c r="U454" s="185"/>
      <c r="V454" s="185"/>
      <c r="W454" s="185"/>
      <c r="X454" s="185"/>
      <c r="Y454" s="185"/>
      <c r="Z454" s="185"/>
      <c r="AA454" s="185"/>
      <c r="AB454" s="75">
        <f>S454+U454+V454+W454+X454+Y454+Z454+AA454</f>
        <v>62064</v>
      </c>
      <c r="AC454" s="75">
        <f>T454+Z454+AA454</f>
        <v>62064</v>
      </c>
      <c r="AD454" s="184"/>
      <c r="AE454" s="184"/>
      <c r="AF454" s="184"/>
      <c r="AG454" s="184"/>
      <c r="AH454" s="184"/>
      <c r="AI454" s="75">
        <f>AB454+AD454+AE454+AF454+AG454+AH454</f>
        <v>62064</v>
      </c>
      <c r="AJ454" s="75">
        <f>AC454+AH454</f>
        <v>62064</v>
      </c>
      <c r="AK454" s="185"/>
      <c r="AL454" s="75">
        <f>AI454+AK454</f>
        <v>62064</v>
      </c>
      <c r="AM454" s="75">
        <f>AJ454</f>
        <v>62064</v>
      </c>
      <c r="AN454" s="185"/>
      <c r="AO454" s="185"/>
      <c r="AP454" s="185"/>
      <c r="AQ454" s="75">
        <v>1421</v>
      </c>
      <c r="AR454" s="75">
        <f>AL454+AN454+AO454+AP454+AQ454</f>
        <v>63485</v>
      </c>
      <c r="AS454" s="75">
        <f>AM454+AQ454</f>
        <v>63485</v>
      </c>
      <c r="AT454" s="76"/>
      <c r="AU454" s="76"/>
      <c r="AV454" s="76"/>
      <c r="AW454" s="76">
        <f>AV454+AU454+AT454+AR454</f>
        <v>63485</v>
      </c>
      <c r="AX454" s="76">
        <f>AV454+AS454</f>
        <v>63485</v>
      </c>
      <c r="AY454" s="184"/>
      <c r="AZ454" s="75"/>
      <c r="BA454" s="75"/>
      <c r="BB454" s="75"/>
      <c r="BC454" s="75">
        <v>-63485</v>
      </c>
      <c r="BD454" s="75">
        <f>AW454+AY454+AZ454+BC454</f>
        <v>0</v>
      </c>
      <c r="BE454" s="75">
        <f>AX454+BC454</f>
        <v>0</v>
      </c>
      <c r="BF454" s="185"/>
      <c r="BG454" s="185"/>
      <c r="BH454" s="185"/>
      <c r="BI454" s="185"/>
      <c r="BJ454" s="185"/>
      <c r="BK454" s="188"/>
      <c r="BL454" s="188"/>
      <c r="BM454" s="188"/>
      <c r="BN454" s="188"/>
      <c r="BO454" s="188"/>
      <c r="BP454" s="188"/>
      <c r="BQ454" s="185"/>
      <c r="BR454" s="185"/>
      <c r="BS454" s="185"/>
      <c r="BT454" s="185"/>
      <c r="BU454" s="185"/>
      <c r="BV454" s="185"/>
      <c r="BW454" s="185"/>
      <c r="BX454" s="185"/>
      <c r="BY454" s="72" t="e">
        <f t="shared" si="540"/>
        <v>#DIV/0!</v>
      </c>
      <c r="BZ454" s="72" t="e">
        <f t="shared" si="591"/>
        <v>#DIV/0!</v>
      </c>
    </row>
    <row r="455" spans="1:78" s="22" customFormat="1" ht="14.25" customHeight="1">
      <c r="A455" s="101"/>
      <c r="B455" s="102"/>
      <c r="C455" s="102"/>
      <c r="D455" s="103"/>
      <c r="E455" s="102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5"/>
      <c r="R455" s="185"/>
      <c r="S455" s="184"/>
      <c r="T455" s="184"/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4"/>
      <c r="AE455" s="184"/>
      <c r="AF455" s="184"/>
      <c r="AG455" s="184"/>
      <c r="AH455" s="184"/>
      <c r="AI455" s="184"/>
      <c r="AJ455" s="184"/>
      <c r="AK455" s="185"/>
      <c r="AL455" s="185"/>
      <c r="AM455" s="185"/>
      <c r="AN455" s="185"/>
      <c r="AO455" s="185"/>
      <c r="AP455" s="185"/>
      <c r="AQ455" s="185"/>
      <c r="AR455" s="185"/>
      <c r="AS455" s="185"/>
      <c r="AT455" s="186"/>
      <c r="AU455" s="186"/>
      <c r="AV455" s="186"/>
      <c r="AW455" s="186"/>
      <c r="AX455" s="186"/>
      <c r="AY455" s="184"/>
      <c r="AZ455" s="184"/>
      <c r="BA455" s="184"/>
      <c r="BB455" s="184"/>
      <c r="BC455" s="184"/>
      <c r="BD455" s="188"/>
      <c r="BE455" s="188"/>
      <c r="BF455" s="185"/>
      <c r="BG455" s="185"/>
      <c r="BH455" s="185"/>
      <c r="BI455" s="185"/>
      <c r="BJ455" s="185"/>
      <c r="BK455" s="188"/>
      <c r="BL455" s="188"/>
      <c r="BM455" s="188"/>
      <c r="BN455" s="188"/>
      <c r="BO455" s="188"/>
      <c r="BP455" s="188"/>
      <c r="BQ455" s="185"/>
      <c r="BR455" s="185"/>
      <c r="BS455" s="185"/>
      <c r="BT455" s="185"/>
      <c r="BU455" s="185"/>
      <c r="BV455" s="185"/>
      <c r="BW455" s="185"/>
      <c r="BX455" s="185"/>
      <c r="BY455" s="72"/>
      <c r="BZ455" s="72"/>
    </row>
    <row r="456" spans="1:78" s="22" customFormat="1" ht="40.5" customHeight="1">
      <c r="A456" s="66" t="s">
        <v>117</v>
      </c>
      <c r="B456" s="67" t="s">
        <v>3</v>
      </c>
      <c r="C456" s="67" t="s">
        <v>151</v>
      </c>
      <c r="D456" s="85"/>
      <c r="E456" s="67"/>
      <c r="F456" s="86">
        <f aca="true" t="shared" si="594" ref="F456:M456">F457+F459+F462</f>
        <v>55795</v>
      </c>
      <c r="G456" s="86">
        <f t="shared" si="594"/>
        <v>-7703</v>
      </c>
      <c r="H456" s="86">
        <f t="shared" si="594"/>
        <v>48092</v>
      </c>
      <c r="I456" s="86">
        <f t="shared" si="594"/>
        <v>0</v>
      </c>
      <c r="J456" s="86">
        <f t="shared" si="594"/>
        <v>0</v>
      </c>
      <c r="K456" s="86">
        <f t="shared" si="594"/>
        <v>0</v>
      </c>
      <c r="L456" s="86">
        <f t="shared" si="594"/>
        <v>0</v>
      </c>
      <c r="M456" s="86">
        <f t="shared" si="594"/>
        <v>48092</v>
      </c>
      <c r="N456" s="86">
        <f aca="true" t="shared" si="595" ref="N456:S456">N457+N459+N462</f>
        <v>0</v>
      </c>
      <c r="O456" s="86">
        <f t="shared" si="595"/>
        <v>0</v>
      </c>
      <c r="P456" s="86"/>
      <c r="Q456" s="86">
        <f t="shared" si="595"/>
        <v>0</v>
      </c>
      <c r="R456" s="86">
        <f t="shared" si="595"/>
        <v>0</v>
      </c>
      <c r="S456" s="86">
        <f t="shared" si="595"/>
        <v>48092</v>
      </c>
      <c r="T456" s="86">
        <f aca="true" t="shared" si="596" ref="T456:AB456">T457+T459+T462</f>
        <v>0</v>
      </c>
      <c r="U456" s="86">
        <f t="shared" si="596"/>
        <v>0</v>
      </c>
      <c r="V456" s="86">
        <f t="shared" si="596"/>
        <v>0</v>
      </c>
      <c r="W456" s="86">
        <f t="shared" si="596"/>
        <v>0</v>
      </c>
      <c r="X456" s="86">
        <f t="shared" si="596"/>
        <v>0</v>
      </c>
      <c r="Y456" s="86">
        <f t="shared" si="596"/>
        <v>0</v>
      </c>
      <c r="Z456" s="86">
        <f t="shared" si="596"/>
        <v>0</v>
      </c>
      <c r="AA456" s="86">
        <f t="shared" si="596"/>
        <v>0</v>
      </c>
      <c r="AB456" s="86">
        <f t="shared" si="596"/>
        <v>48092</v>
      </c>
      <c r="AC456" s="86">
        <f aca="true" t="shared" si="597" ref="AC456:AI456">AC457+AC459+AC462</f>
        <v>0</v>
      </c>
      <c r="AD456" s="86">
        <f t="shared" si="597"/>
        <v>0</v>
      </c>
      <c r="AE456" s="86">
        <f t="shared" si="597"/>
        <v>0</v>
      </c>
      <c r="AF456" s="86">
        <f t="shared" si="597"/>
        <v>-2841</v>
      </c>
      <c r="AG456" s="86">
        <f t="shared" si="597"/>
        <v>0</v>
      </c>
      <c r="AH456" s="86">
        <f t="shared" si="597"/>
        <v>0</v>
      </c>
      <c r="AI456" s="86">
        <f t="shared" si="597"/>
        <v>45251</v>
      </c>
      <c r="AJ456" s="86">
        <f>AJ457+AJ459+AJ462</f>
        <v>0</v>
      </c>
      <c r="AK456" s="86">
        <f>AK457+AK459+AK462</f>
        <v>0</v>
      </c>
      <c r="AL456" s="86">
        <f>AL457+AL459+AL462</f>
        <v>45251</v>
      </c>
      <c r="AM456" s="86">
        <f aca="true" t="shared" si="598" ref="AM456:AS456">AM457+AM459+AM462</f>
        <v>0</v>
      </c>
      <c r="AN456" s="86">
        <f t="shared" si="598"/>
        <v>0</v>
      </c>
      <c r="AO456" s="86">
        <f>AO457+AO459+AO462</f>
        <v>0</v>
      </c>
      <c r="AP456" s="86">
        <f t="shared" si="598"/>
        <v>0</v>
      </c>
      <c r="AQ456" s="86">
        <f t="shared" si="598"/>
        <v>0</v>
      </c>
      <c r="AR456" s="86">
        <f t="shared" si="598"/>
        <v>45251</v>
      </c>
      <c r="AS456" s="86">
        <f t="shared" si="598"/>
        <v>0</v>
      </c>
      <c r="AT456" s="87">
        <f>AT457+AT459+AT462</f>
        <v>0</v>
      </c>
      <c r="AU456" s="87">
        <f>AU457+AU459+AU462</f>
        <v>0</v>
      </c>
      <c r="AV456" s="87">
        <f>AV457+AV459+AV462</f>
        <v>0</v>
      </c>
      <c r="AW456" s="87">
        <f>AW457+AW459+AW462</f>
        <v>45251</v>
      </c>
      <c r="AX456" s="87">
        <f aca="true" t="shared" si="599" ref="AX456:BD456">AX457+AX459+AX462</f>
        <v>0</v>
      </c>
      <c r="AY456" s="86">
        <f t="shared" si="599"/>
        <v>-6744</v>
      </c>
      <c r="AZ456" s="86">
        <f>AZ457+AZ459+AZ462</f>
        <v>0</v>
      </c>
      <c r="BA456" s="86">
        <f>BA457+BA459+BA462</f>
        <v>0</v>
      </c>
      <c r="BB456" s="86">
        <f>BB457+BB459+BB462</f>
        <v>0</v>
      </c>
      <c r="BC456" s="86">
        <f t="shared" si="599"/>
        <v>0</v>
      </c>
      <c r="BD456" s="86">
        <f t="shared" si="599"/>
        <v>38507</v>
      </c>
      <c r="BE456" s="86">
        <f>BE457+BE459+BE462</f>
        <v>0</v>
      </c>
      <c r="BF456" s="86">
        <f>BF457+BF459+BF462</f>
        <v>8</v>
      </c>
      <c r="BG456" s="86">
        <f>BG457+BG459+BG462</f>
        <v>0</v>
      </c>
      <c r="BH456" s="86">
        <f>BH457+BH459+BH462</f>
        <v>0</v>
      </c>
      <c r="BI456" s="86">
        <f>BI457+BI459+BI462</f>
        <v>38515</v>
      </c>
      <c r="BJ456" s="86">
        <f aca="true" t="shared" si="600" ref="BJ456:BP456">BJ457+BJ459+BJ462</f>
        <v>0</v>
      </c>
      <c r="BK456" s="86">
        <f t="shared" si="600"/>
        <v>0</v>
      </c>
      <c r="BL456" s="86">
        <f t="shared" si="600"/>
        <v>0</v>
      </c>
      <c r="BM456" s="86">
        <f t="shared" si="600"/>
        <v>0</v>
      </c>
      <c r="BN456" s="86">
        <f t="shared" si="600"/>
        <v>0</v>
      </c>
      <c r="BO456" s="86">
        <f t="shared" si="600"/>
        <v>38515</v>
      </c>
      <c r="BP456" s="86">
        <f t="shared" si="600"/>
        <v>0</v>
      </c>
      <c r="BQ456" s="86">
        <f>BQ457+BQ459+BQ462</f>
        <v>0</v>
      </c>
      <c r="BR456" s="86"/>
      <c r="BS456" s="86">
        <f aca="true" t="shared" si="601" ref="BS456:BX456">BS457+BS459+BS462</f>
        <v>-2000</v>
      </c>
      <c r="BT456" s="86">
        <f t="shared" si="601"/>
        <v>0</v>
      </c>
      <c r="BU456" s="86">
        <f t="shared" si="601"/>
        <v>36515</v>
      </c>
      <c r="BV456" s="86">
        <f t="shared" si="601"/>
        <v>0</v>
      </c>
      <c r="BW456" s="86">
        <f t="shared" si="601"/>
        <v>31704</v>
      </c>
      <c r="BX456" s="86">
        <f t="shared" si="601"/>
        <v>0</v>
      </c>
      <c r="BY456" s="71">
        <f t="shared" si="540"/>
        <v>86.82459263316446</v>
      </c>
      <c r="BZ456" s="72"/>
    </row>
    <row r="457" spans="1:78" s="22" customFormat="1" ht="62.25" customHeight="1" hidden="1">
      <c r="A457" s="88" t="s">
        <v>152</v>
      </c>
      <c r="B457" s="89" t="s">
        <v>3</v>
      </c>
      <c r="C457" s="89" t="s">
        <v>151</v>
      </c>
      <c r="D457" s="90" t="s">
        <v>39</v>
      </c>
      <c r="E457" s="89"/>
      <c r="F457" s="91">
        <f>F458</f>
        <v>1111</v>
      </c>
      <c r="G457" s="91">
        <f>G458</f>
        <v>3363</v>
      </c>
      <c r="H457" s="91">
        <f>H458</f>
        <v>4474</v>
      </c>
      <c r="I457" s="91">
        <f aca="true" t="shared" si="602" ref="I457:BW457">I458</f>
        <v>0</v>
      </c>
      <c r="J457" s="91">
        <f t="shared" si="602"/>
        <v>0</v>
      </c>
      <c r="K457" s="91">
        <f t="shared" si="602"/>
        <v>0</v>
      </c>
      <c r="L457" s="91">
        <f t="shared" si="602"/>
        <v>0</v>
      </c>
      <c r="M457" s="91">
        <f t="shared" si="602"/>
        <v>4474</v>
      </c>
      <c r="N457" s="91">
        <f t="shared" si="602"/>
        <v>0</v>
      </c>
      <c r="O457" s="91">
        <f t="shared" si="602"/>
        <v>0</v>
      </c>
      <c r="P457" s="91"/>
      <c r="Q457" s="91">
        <f t="shared" si="602"/>
        <v>0</v>
      </c>
      <c r="R457" s="91">
        <f t="shared" si="602"/>
        <v>0</v>
      </c>
      <c r="S457" s="91">
        <f t="shared" si="602"/>
        <v>4474</v>
      </c>
      <c r="T457" s="91">
        <f t="shared" si="602"/>
        <v>0</v>
      </c>
      <c r="U457" s="91">
        <f t="shared" si="602"/>
        <v>0</v>
      </c>
      <c r="V457" s="91">
        <f t="shared" si="602"/>
        <v>0</v>
      </c>
      <c r="W457" s="91">
        <f t="shared" si="602"/>
        <v>0</v>
      </c>
      <c r="X457" s="91">
        <f t="shared" si="602"/>
        <v>0</v>
      </c>
      <c r="Y457" s="91">
        <f t="shared" si="602"/>
        <v>0</v>
      </c>
      <c r="Z457" s="91">
        <f t="shared" si="602"/>
        <v>0</v>
      </c>
      <c r="AA457" s="91">
        <f t="shared" si="602"/>
        <v>0</v>
      </c>
      <c r="AB457" s="91">
        <f t="shared" si="602"/>
        <v>4474</v>
      </c>
      <c r="AC457" s="91">
        <f t="shared" si="602"/>
        <v>0</v>
      </c>
      <c r="AD457" s="91">
        <f t="shared" si="602"/>
        <v>0</v>
      </c>
      <c r="AE457" s="91">
        <f t="shared" si="602"/>
        <v>0</v>
      </c>
      <c r="AF457" s="91">
        <f t="shared" si="602"/>
        <v>0</v>
      </c>
      <c r="AG457" s="91">
        <f t="shared" si="602"/>
        <v>0</v>
      </c>
      <c r="AH457" s="91">
        <f t="shared" si="602"/>
        <v>0</v>
      </c>
      <c r="AI457" s="91">
        <f t="shared" si="602"/>
        <v>4474</v>
      </c>
      <c r="AJ457" s="91">
        <f t="shared" si="602"/>
        <v>0</v>
      </c>
      <c r="AK457" s="91">
        <f t="shared" si="602"/>
        <v>0</v>
      </c>
      <c r="AL457" s="91">
        <f t="shared" si="602"/>
        <v>4474</v>
      </c>
      <c r="AM457" s="91">
        <f t="shared" si="602"/>
        <v>0</v>
      </c>
      <c r="AN457" s="91">
        <f t="shared" si="602"/>
        <v>0</v>
      </c>
      <c r="AO457" s="91">
        <f t="shared" si="602"/>
        <v>0</v>
      </c>
      <c r="AP457" s="91">
        <f t="shared" si="602"/>
        <v>0</v>
      </c>
      <c r="AQ457" s="91">
        <f t="shared" si="602"/>
        <v>0</v>
      </c>
      <c r="AR457" s="91">
        <f t="shared" si="602"/>
        <v>4474</v>
      </c>
      <c r="AS457" s="91">
        <f t="shared" si="602"/>
        <v>0</v>
      </c>
      <c r="AT457" s="92">
        <f t="shared" si="602"/>
        <v>0</v>
      </c>
      <c r="AU457" s="92">
        <f t="shared" si="602"/>
        <v>0</v>
      </c>
      <c r="AV457" s="92">
        <f t="shared" si="602"/>
        <v>0</v>
      </c>
      <c r="AW457" s="92">
        <f t="shared" si="602"/>
        <v>4474</v>
      </c>
      <c r="AX457" s="92">
        <f t="shared" si="602"/>
        <v>0</v>
      </c>
      <c r="AY457" s="91">
        <f t="shared" si="602"/>
        <v>-1774</v>
      </c>
      <c r="AZ457" s="91">
        <f t="shared" si="602"/>
        <v>0</v>
      </c>
      <c r="BA457" s="91">
        <f t="shared" si="602"/>
        <v>0</v>
      </c>
      <c r="BB457" s="91">
        <f t="shared" si="602"/>
        <v>0</v>
      </c>
      <c r="BC457" s="91">
        <f t="shared" si="602"/>
        <v>0</v>
      </c>
      <c r="BD457" s="91">
        <f t="shared" si="602"/>
        <v>2700</v>
      </c>
      <c r="BE457" s="91">
        <f t="shared" si="602"/>
        <v>0</v>
      </c>
      <c r="BF457" s="91">
        <f t="shared" si="602"/>
        <v>0</v>
      </c>
      <c r="BG457" s="91">
        <f t="shared" si="602"/>
        <v>0</v>
      </c>
      <c r="BH457" s="91">
        <f t="shared" si="602"/>
        <v>0</v>
      </c>
      <c r="BI457" s="91">
        <f t="shared" si="602"/>
        <v>2700</v>
      </c>
      <c r="BJ457" s="91">
        <f t="shared" si="602"/>
        <v>0</v>
      </c>
      <c r="BK457" s="91">
        <f t="shared" si="602"/>
        <v>0</v>
      </c>
      <c r="BL457" s="91">
        <f t="shared" si="602"/>
        <v>0</v>
      </c>
      <c r="BM457" s="91">
        <f t="shared" si="602"/>
        <v>0</v>
      </c>
      <c r="BN457" s="91">
        <f t="shared" si="602"/>
        <v>0</v>
      </c>
      <c r="BO457" s="91">
        <f t="shared" si="602"/>
        <v>2700</v>
      </c>
      <c r="BP457" s="91">
        <f t="shared" si="602"/>
        <v>0</v>
      </c>
      <c r="BQ457" s="91">
        <f t="shared" si="602"/>
        <v>0</v>
      </c>
      <c r="BR457" s="91"/>
      <c r="BS457" s="91">
        <f t="shared" si="602"/>
        <v>0</v>
      </c>
      <c r="BT457" s="91">
        <f t="shared" si="602"/>
        <v>0</v>
      </c>
      <c r="BU457" s="91">
        <f t="shared" si="602"/>
        <v>2700</v>
      </c>
      <c r="BV457" s="91">
        <f>BV458</f>
        <v>0</v>
      </c>
      <c r="BW457" s="91">
        <f t="shared" si="602"/>
        <v>2688</v>
      </c>
      <c r="BX457" s="91">
        <f>BX458</f>
        <v>0</v>
      </c>
      <c r="BY457" s="77">
        <f t="shared" si="540"/>
        <v>99.55555555555556</v>
      </c>
      <c r="BZ457" s="60"/>
    </row>
    <row r="458" spans="1:78" s="22" customFormat="1" ht="117" customHeight="1" hidden="1">
      <c r="A458" s="88" t="s">
        <v>360</v>
      </c>
      <c r="B458" s="89" t="s">
        <v>3</v>
      </c>
      <c r="C458" s="89" t="s">
        <v>151</v>
      </c>
      <c r="D458" s="90" t="s">
        <v>39</v>
      </c>
      <c r="E458" s="89" t="s">
        <v>153</v>
      </c>
      <c r="F458" s="75">
        <v>1111</v>
      </c>
      <c r="G458" s="75">
        <f>H458-F458</f>
        <v>3363</v>
      </c>
      <c r="H458" s="75">
        <v>4474</v>
      </c>
      <c r="I458" s="184"/>
      <c r="J458" s="184"/>
      <c r="K458" s="184"/>
      <c r="L458" s="184"/>
      <c r="M458" s="75">
        <f>H458+J458+K458+L458</f>
        <v>4474</v>
      </c>
      <c r="N458" s="78">
        <f>I458+L458</f>
        <v>0</v>
      </c>
      <c r="O458" s="184"/>
      <c r="P458" s="184"/>
      <c r="Q458" s="185"/>
      <c r="R458" s="185"/>
      <c r="S458" s="75">
        <f>M458+O458+P458+Q458+R458</f>
        <v>4474</v>
      </c>
      <c r="T458" s="75">
        <f>N458+R458</f>
        <v>0</v>
      </c>
      <c r="U458" s="185"/>
      <c r="V458" s="185"/>
      <c r="W458" s="185"/>
      <c r="X458" s="185"/>
      <c r="Y458" s="185"/>
      <c r="Z458" s="185"/>
      <c r="AA458" s="185"/>
      <c r="AB458" s="75">
        <f>S458+U458+V458+W458+X458+Y458+Z458+AA458</f>
        <v>4474</v>
      </c>
      <c r="AC458" s="75">
        <f>T458+Z458+AA458</f>
        <v>0</v>
      </c>
      <c r="AD458" s="184"/>
      <c r="AE458" s="184"/>
      <c r="AF458" s="184"/>
      <c r="AG458" s="184"/>
      <c r="AH458" s="184"/>
      <c r="AI458" s="75">
        <f>AB458+AD458+AE458+AF458+AG458+AH458</f>
        <v>4474</v>
      </c>
      <c r="AJ458" s="75">
        <f>AC458+AH458</f>
        <v>0</v>
      </c>
      <c r="AK458" s="185"/>
      <c r="AL458" s="75">
        <f>AI458+AK458</f>
        <v>4474</v>
      </c>
      <c r="AM458" s="75">
        <f>AJ458</f>
        <v>0</v>
      </c>
      <c r="AN458" s="185"/>
      <c r="AO458" s="185"/>
      <c r="AP458" s="185"/>
      <c r="AQ458" s="185"/>
      <c r="AR458" s="75">
        <f>AL458+AN458+AO458+AP458+AQ458</f>
        <v>4474</v>
      </c>
      <c r="AS458" s="75">
        <f>AM458+AQ458</f>
        <v>0</v>
      </c>
      <c r="AT458" s="186"/>
      <c r="AU458" s="186"/>
      <c r="AV458" s="186"/>
      <c r="AW458" s="76">
        <f>AV458+AU458+AT458+AR458</f>
        <v>4474</v>
      </c>
      <c r="AX458" s="76">
        <f>AV458+AS458</f>
        <v>0</v>
      </c>
      <c r="AY458" s="75">
        <f>-1749-25</f>
        <v>-1774</v>
      </c>
      <c r="AZ458" s="184"/>
      <c r="BA458" s="184"/>
      <c r="BB458" s="184"/>
      <c r="BC458" s="184"/>
      <c r="BD458" s="75">
        <f>AW458+AY458+AZ458+BA458+BB458+BC458</f>
        <v>2700</v>
      </c>
      <c r="BE458" s="75">
        <f>AX458+BC458</f>
        <v>0</v>
      </c>
      <c r="BF458" s="185"/>
      <c r="BG458" s="185"/>
      <c r="BH458" s="185"/>
      <c r="BI458" s="75">
        <f>BD458+BF458+BG458+BH458</f>
        <v>2700</v>
      </c>
      <c r="BJ458" s="75">
        <f>BE458+BH458</f>
        <v>0</v>
      </c>
      <c r="BK458" s="188"/>
      <c r="BL458" s="188"/>
      <c r="BM458" s="188"/>
      <c r="BN458" s="188"/>
      <c r="BO458" s="75">
        <f>BI458+BK458+BL458+BM458+BN458</f>
        <v>2700</v>
      </c>
      <c r="BP458" s="75">
        <f>BJ458+BN458</f>
        <v>0</v>
      </c>
      <c r="BQ458" s="185"/>
      <c r="BR458" s="185"/>
      <c r="BS458" s="185"/>
      <c r="BT458" s="185"/>
      <c r="BU458" s="75">
        <f>BO458+BQ458+BS458+BT458</f>
        <v>2700</v>
      </c>
      <c r="BV458" s="75">
        <f>BP458+BT458</f>
        <v>0</v>
      </c>
      <c r="BW458" s="75">
        <v>2688</v>
      </c>
      <c r="BX458" s="75">
        <f>BR458+BV458</f>
        <v>0</v>
      </c>
      <c r="BY458" s="77">
        <f t="shared" si="540"/>
        <v>99.55555555555556</v>
      </c>
      <c r="BZ458" s="60"/>
    </row>
    <row r="459" spans="1:78" s="22" customFormat="1" ht="36.75" customHeight="1" hidden="1">
      <c r="A459" s="88" t="s">
        <v>221</v>
      </c>
      <c r="B459" s="89" t="s">
        <v>3</v>
      </c>
      <c r="C459" s="89" t="s">
        <v>151</v>
      </c>
      <c r="D459" s="90" t="s">
        <v>222</v>
      </c>
      <c r="E459" s="89"/>
      <c r="F459" s="75">
        <f aca="true" t="shared" si="603" ref="F459:U460">F460</f>
        <v>905</v>
      </c>
      <c r="G459" s="75">
        <f t="shared" si="603"/>
        <v>-226</v>
      </c>
      <c r="H459" s="75">
        <f t="shared" si="603"/>
        <v>679</v>
      </c>
      <c r="I459" s="75">
        <f t="shared" si="603"/>
        <v>0</v>
      </c>
      <c r="J459" s="75">
        <f t="shared" si="603"/>
        <v>0</v>
      </c>
      <c r="K459" s="75">
        <f t="shared" si="603"/>
        <v>0</v>
      </c>
      <c r="L459" s="75">
        <f t="shared" si="603"/>
        <v>0</v>
      </c>
      <c r="M459" s="75">
        <f t="shared" si="603"/>
        <v>679</v>
      </c>
      <c r="N459" s="75">
        <f t="shared" si="603"/>
        <v>0</v>
      </c>
      <c r="O459" s="75">
        <f t="shared" si="603"/>
        <v>0</v>
      </c>
      <c r="P459" s="75"/>
      <c r="Q459" s="75">
        <f t="shared" si="603"/>
        <v>0</v>
      </c>
      <c r="R459" s="75">
        <f t="shared" si="603"/>
        <v>0</v>
      </c>
      <c r="S459" s="75">
        <f t="shared" si="603"/>
        <v>679</v>
      </c>
      <c r="T459" s="75">
        <f t="shared" si="603"/>
        <v>0</v>
      </c>
      <c r="U459" s="75">
        <f t="shared" si="603"/>
        <v>0</v>
      </c>
      <c r="V459" s="75">
        <f aca="true" t="shared" si="604" ref="T459:AJ460">V460</f>
        <v>0</v>
      </c>
      <c r="W459" s="75">
        <f t="shared" si="604"/>
        <v>0</v>
      </c>
      <c r="X459" s="75">
        <f t="shared" si="604"/>
        <v>0</v>
      </c>
      <c r="Y459" s="75">
        <f t="shared" si="604"/>
        <v>0</v>
      </c>
      <c r="Z459" s="75">
        <f t="shared" si="604"/>
        <v>0</v>
      </c>
      <c r="AA459" s="75">
        <f t="shared" si="604"/>
        <v>0</v>
      </c>
      <c r="AB459" s="75">
        <f t="shared" si="604"/>
        <v>679</v>
      </c>
      <c r="AC459" s="75">
        <f t="shared" si="604"/>
        <v>0</v>
      </c>
      <c r="AD459" s="75">
        <f t="shared" si="604"/>
        <v>0</v>
      </c>
      <c r="AE459" s="75">
        <f t="shared" si="604"/>
        <v>0</v>
      </c>
      <c r="AF459" s="75">
        <f t="shared" si="604"/>
        <v>0</v>
      </c>
      <c r="AG459" s="75">
        <f t="shared" si="604"/>
        <v>0</v>
      </c>
      <c r="AH459" s="75">
        <f t="shared" si="604"/>
        <v>0</v>
      </c>
      <c r="AI459" s="75">
        <f t="shared" si="604"/>
        <v>679</v>
      </c>
      <c r="AJ459" s="75">
        <f t="shared" si="604"/>
        <v>0</v>
      </c>
      <c r="AK459" s="75">
        <f aca="true" t="shared" si="605" ref="AJ459:AZ460">AK460</f>
        <v>0</v>
      </c>
      <c r="AL459" s="75">
        <f t="shared" si="605"/>
        <v>679</v>
      </c>
      <c r="AM459" s="75">
        <f t="shared" si="605"/>
        <v>0</v>
      </c>
      <c r="AN459" s="75">
        <f t="shared" si="605"/>
        <v>0</v>
      </c>
      <c r="AO459" s="75">
        <f t="shared" si="605"/>
        <v>0</v>
      </c>
      <c r="AP459" s="75">
        <f t="shared" si="605"/>
        <v>0</v>
      </c>
      <c r="AQ459" s="75">
        <f t="shared" si="605"/>
        <v>0</v>
      </c>
      <c r="AR459" s="75">
        <f t="shared" si="605"/>
        <v>679</v>
      </c>
      <c r="AS459" s="75">
        <f t="shared" si="605"/>
        <v>0</v>
      </c>
      <c r="AT459" s="76">
        <f t="shared" si="605"/>
        <v>0</v>
      </c>
      <c r="AU459" s="76">
        <f t="shared" si="605"/>
        <v>0</v>
      </c>
      <c r="AV459" s="76">
        <f t="shared" si="605"/>
        <v>0</v>
      </c>
      <c r="AW459" s="76">
        <f t="shared" si="605"/>
        <v>679</v>
      </c>
      <c r="AX459" s="76">
        <f t="shared" si="605"/>
        <v>0</v>
      </c>
      <c r="AY459" s="75">
        <f t="shared" si="605"/>
        <v>0</v>
      </c>
      <c r="AZ459" s="75">
        <f t="shared" si="605"/>
        <v>0</v>
      </c>
      <c r="BA459" s="75">
        <f>BA460</f>
        <v>0</v>
      </c>
      <c r="BB459" s="75">
        <f>BB460</f>
        <v>0</v>
      </c>
      <c r="BC459" s="75">
        <f aca="true" t="shared" si="606" ref="AX459:BM460">BC460</f>
        <v>0</v>
      </c>
      <c r="BD459" s="75">
        <f t="shared" si="606"/>
        <v>679</v>
      </c>
      <c r="BE459" s="75">
        <f t="shared" si="606"/>
        <v>0</v>
      </c>
      <c r="BF459" s="75">
        <f t="shared" si="606"/>
        <v>0</v>
      </c>
      <c r="BG459" s="75">
        <f t="shared" si="606"/>
        <v>0</v>
      </c>
      <c r="BH459" s="75">
        <f t="shared" si="606"/>
        <v>0</v>
      </c>
      <c r="BI459" s="75">
        <f t="shared" si="606"/>
        <v>679</v>
      </c>
      <c r="BJ459" s="75">
        <f t="shared" si="606"/>
        <v>0</v>
      </c>
      <c r="BK459" s="75">
        <f t="shared" si="606"/>
        <v>0</v>
      </c>
      <c r="BL459" s="75">
        <f t="shared" si="606"/>
        <v>0</v>
      </c>
      <c r="BM459" s="75">
        <f t="shared" si="606"/>
        <v>0</v>
      </c>
      <c r="BN459" s="75">
        <f aca="true" t="shared" si="607" ref="BJ459:BX460">BN460</f>
        <v>0</v>
      </c>
      <c r="BO459" s="75">
        <f t="shared" si="607"/>
        <v>679</v>
      </c>
      <c r="BP459" s="75">
        <f t="shared" si="607"/>
        <v>0</v>
      </c>
      <c r="BQ459" s="75">
        <f t="shared" si="607"/>
        <v>0</v>
      </c>
      <c r="BR459" s="75"/>
      <c r="BS459" s="75">
        <f t="shared" si="607"/>
        <v>0</v>
      </c>
      <c r="BT459" s="75">
        <f t="shared" si="607"/>
        <v>0</v>
      </c>
      <c r="BU459" s="75">
        <f t="shared" si="607"/>
        <v>679</v>
      </c>
      <c r="BV459" s="75">
        <f t="shared" si="607"/>
        <v>0</v>
      </c>
      <c r="BW459" s="75">
        <f t="shared" si="607"/>
        <v>670</v>
      </c>
      <c r="BX459" s="75">
        <f t="shared" si="607"/>
        <v>0</v>
      </c>
      <c r="BY459" s="77">
        <f t="shared" si="540"/>
        <v>98.67452135493373</v>
      </c>
      <c r="BZ459" s="60"/>
    </row>
    <row r="460" spans="1:78" s="22" customFormat="1" ht="101.25" customHeight="1" hidden="1">
      <c r="A460" s="88" t="s">
        <v>371</v>
      </c>
      <c r="B460" s="89" t="s">
        <v>3</v>
      </c>
      <c r="C460" s="89" t="s">
        <v>151</v>
      </c>
      <c r="D460" s="90" t="s">
        <v>223</v>
      </c>
      <c r="E460" s="89"/>
      <c r="F460" s="75">
        <f t="shared" si="603"/>
        <v>905</v>
      </c>
      <c r="G460" s="75">
        <f t="shared" si="603"/>
        <v>-226</v>
      </c>
      <c r="H460" s="75">
        <f t="shared" si="603"/>
        <v>679</v>
      </c>
      <c r="I460" s="75">
        <f t="shared" si="603"/>
        <v>0</v>
      </c>
      <c r="J460" s="75">
        <f t="shared" si="603"/>
        <v>0</v>
      </c>
      <c r="K460" s="75">
        <f t="shared" si="603"/>
        <v>0</v>
      </c>
      <c r="L460" s="75">
        <f t="shared" si="603"/>
        <v>0</v>
      </c>
      <c r="M460" s="75">
        <f t="shared" si="603"/>
        <v>679</v>
      </c>
      <c r="N460" s="75">
        <f t="shared" si="603"/>
        <v>0</v>
      </c>
      <c r="O460" s="75">
        <f t="shared" si="603"/>
        <v>0</v>
      </c>
      <c r="P460" s="75"/>
      <c r="Q460" s="75">
        <f t="shared" si="603"/>
        <v>0</v>
      </c>
      <c r="R460" s="75">
        <f t="shared" si="603"/>
        <v>0</v>
      </c>
      <c r="S460" s="75">
        <f t="shared" si="603"/>
        <v>679</v>
      </c>
      <c r="T460" s="75">
        <f t="shared" si="604"/>
        <v>0</v>
      </c>
      <c r="U460" s="75">
        <f t="shared" si="604"/>
        <v>0</v>
      </c>
      <c r="V460" s="75">
        <f t="shared" si="604"/>
        <v>0</v>
      </c>
      <c r="W460" s="75">
        <f t="shared" si="604"/>
        <v>0</v>
      </c>
      <c r="X460" s="75">
        <f t="shared" si="604"/>
        <v>0</v>
      </c>
      <c r="Y460" s="75">
        <f t="shared" si="604"/>
        <v>0</v>
      </c>
      <c r="Z460" s="75">
        <f t="shared" si="604"/>
        <v>0</v>
      </c>
      <c r="AA460" s="75">
        <f t="shared" si="604"/>
        <v>0</v>
      </c>
      <c r="AB460" s="75">
        <f t="shared" si="604"/>
        <v>679</v>
      </c>
      <c r="AC460" s="75">
        <f t="shared" si="604"/>
        <v>0</v>
      </c>
      <c r="AD460" s="75">
        <f t="shared" si="604"/>
        <v>0</v>
      </c>
      <c r="AE460" s="75">
        <f t="shared" si="604"/>
        <v>0</v>
      </c>
      <c r="AF460" s="75">
        <f t="shared" si="604"/>
        <v>0</v>
      </c>
      <c r="AG460" s="75">
        <f t="shared" si="604"/>
        <v>0</v>
      </c>
      <c r="AH460" s="75">
        <f t="shared" si="604"/>
        <v>0</v>
      </c>
      <c r="AI460" s="75">
        <f t="shared" si="604"/>
        <v>679</v>
      </c>
      <c r="AJ460" s="75">
        <f t="shared" si="605"/>
        <v>0</v>
      </c>
      <c r="AK460" s="75">
        <f t="shared" si="605"/>
        <v>0</v>
      </c>
      <c r="AL460" s="75">
        <f t="shared" si="605"/>
        <v>679</v>
      </c>
      <c r="AM460" s="75">
        <f t="shared" si="605"/>
        <v>0</v>
      </c>
      <c r="AN460" s="75">
        <f t="shared" si="605"/>
        <v>0</v>
      </c>
      <c r="AO460" s="75">
        <f t="shared" si="605"/>
        <v>0</v>
      </c>
      <c r="AP460" s="75">
        <f t="shared" si="605"/>
        <v>0</v>
      </c>
      <c r="AQ460" s="75">
        <f t="shared" si="605"/>
        <v>0</v>
      </c>
      <c r="AR460" s="75">
        <f t="shared" si="605"/>
        <v>679</v>
      </c>
      <c r="AS460" s="75">
        <f t="shared" si="605"/>
        <v>0</v>
      </c>
      <c r="AT460" s="76">
        <f t="shared" si="605"/>
        <v>0</v>
      </c>
      <c r="AU460" s="76">
        <f t="shared" si="605"/>
        <v>0</v>
      </c>
      <c r="AV460" s="76">
        <f t="shared" si="605"/>
        <v>0</v>
      </c>
      <c r="AW460" s="76">
        <f t="shared" si="605"/>
        <v>679</v>
      </c>
      <c r="AX460" s="76">
        <f t="shared" si="606"/>
        <v>0</v>
      </c>
      <c r="AY460" s="75">
        <f t="shared" si="606"/>
        <v>0</v>
      </c>
      <c r="AZ460" s="75">
        <f t="shared" si="606"/>
        <v>0</v>
      </c>
      <c r="BA460" s="75">
        <f t="shared" si="606"/>
        <v>0</v>
      </c>
      <c r="BB460" s="75">
        <f t="shared" si="606"/>
        <v>0</v>
      </c>
      <c r="BC460" s="75">
        <f t="shared" si="606"/>
        <v>0</v>
      </c>
      <c r="BD460" s="75">
        <f t="shared" si="606"/>
        <v>679</v>
      </c>
      <c r="BE460" s="75">
        <f t="shared" si="606"/>
        <v>0</v>
      </c>
      <c r="BF460" s="75">
        <f t="shared" si="606"/>
        <v>0</v>
      </c>
      <c r="BG460" s="75">
        <f t="shared" si="606"/>
        <v>0</v>
      </c>
      <c r="BH460" s="75">
        <f t="shared" si="606"/>
        <v>0</v>
      </c>
      <c r="BI460" s="75">
        <f t="shared" si="606"/>
        <v>679</v>
      </c>
      <c r="BJ460" s="75">
        <f t="shared" si="607"/>
        <v>0</v>
      </c>
      <c r="BK460" s="75">
        <f t="shared" si="607"/>
        <v>0</v>
      </c>
      <c r="BL460" s="75">
        <f t="shared" si="607"/>
        <v>0</v>
      </c>
      <c r="BM460" s="75">
        <f t="shared" si="607"/>
        <v>0</v>
      </c>
      <c r="BN460" s="75">
        <f t="shared" si="607"/>
        <v>0</v>
      </c>
      <c r="BO460" s="75">
        <f t="shared" si="607"/>
        <v>679</v>
      </c>
      <c r="BP460" s="75">
        <f t="shared" si="607"/>
        <v>0</v>
      </c>
      <c r="BQ460" s="75">
        <f t="shared" si="607"/>
        <v>0</v>
      </c>
      <c r="BR460" s="75"/>
      <c r="BS460" s="75">
        <f t="shared" si="607"/>
        <v>0</v>
      </c>
      <c r="BT460" s="75">
        <f t="shared" si="607"/>
        <v>0</v>
      </c>
      <c r="BU460" s="75">
        <f t="shared" si="607"/>
        <v>679</v>
      </c>
      <c r="BV460" s="75">
        <f t="shared" si="607"/>
        <v>0</v>
      </c>
      <c r="BW460" s="75">
        <f t="shared" si="607"/>
        <v>670</v>
      </c>
      <c r="BX460" s="75">
        <f t="shared" si="607"/>
        <v>0</v>
      </c>
      <c r="BY460" s="77">
        <f t="shared" si="540"/>
        <v>98.67452135493373</v>
      </c>
      <c r="BZ460" s="60"/>
    </row>
    <row r="461" spans="1:78" s="22" customFormat="1" ht="87.75" customHeight="1" hidden="1">
      <c r="A461" s="88" t="s">
        <v>359</v>
      </c>
      <c r="B461" s="89" t="s">
        <v>3</v>
      </c>
      <c r="C461" s="89" t="s">
        <v>151</v>
      </c>
      <c r="D461" s="90" t="s">
        <v>223</v>
      </c>
      <c r="E461" s="89" t="s">
        <v>145</v>
      </c>
      <c r="F461" s="75">
        <v>905</v>
      </c>
      <c r="G461" s="75">
        <f>H461-F461</f>
        <v>-226</v>
      </c>
      <c r="H461" s="75">
        <f>894-215</f>
        <v>679</v>
      </c>
      <c r="I461" s="184"/>
      <c r="J461" s="184"/>
      <c r="K461" s="184"/>
      <c r="L461" s="184"/>
      <c r="M461" s="75">
        <f>H461+J461+K461+L461</f>
        <v>679</v>
      </c>
      <c r="N461" s="78">
        <f>I461+L461</f>
        <v>0</v>
      </c>
      <c r="O461" s="184"/>
      <c r="P461" s="184"/>
      <c r="Q461" s="185"/>
      <c r="R461" s="185"/>
      <c r="S461" s="75">
        <f>M461+O461+P461+Q461+R461</f>
        <v>679</v>
      </c>
      <c r="T461" s="75">
        <f>N461+R461</f>
        <v>0</v>
      </c>
      <c r="U461" s="185"/>
      <c r="V461" s="185"/>
      <c r="W461" s="185"/>
      <c r="X461" s="185"/>
      <c r="Y461" s="185"/>
      <c r="Z461" s="185"/>
      <c r="AA461" s="185"/>
      <c r="AB461" s="75">
        <f>S461+U461+V461+W461+X461+Y461+Z461+AA461</f>
        <v>679</v>
      </c>
      <c r="AC461" s="75">
        <f>T461+Z461+AA461</f>
        <v>0</v>
      </c>
      <c r="AD461" s="184"/>
      <c r="AE461" s="184"/>
      <c r="AF461" s="184"/>
      <c r="AG461" s="184"/>
      <c r="AH461" s="184"/>
      <c r="AI461" s="75">
        <f>AB461+AD461+AE461+AF461+AG461+AH461</f>
        <v>679</v>
      </c>
      <c r="AJ461" s="75">
        <f>AC461+AH461</f>
        <v>0</v>
      </c>
      <c r="AK461" s="185"/>
      <c r="AL461" s="75">
        <f>AI461+AK461</f>
        <v>679</v>
      </c>
      <c r="AM461" s="75">
        <f>AJ461</f>
        <v>0</v>
      </c>
      <c r="AN461" s="185"/>
      <c r="AO461" s="185"/>
      <c r="AP461" s="185"/>
      <c r="AQ461" s="185"/>
      <c r="AR461" s="75">
        <f>AL461+AN461+AO461+AP461+AQ461</f>
        <v>679</v>
      </c>
      <c r="AS461" s="75">
        <f>AM461+AQ461</f>
        <v>0</v>
      </c>
      <c r="AT461" s="186"/>
      <c r="AU461" s="186"/>
      <c r="AV461" s="186"/>
      <c r="AW461" s="76">
        <f>AV461+AU461+AT461+AR461</f>
        <v>679</v>
      </c>
      <c r="AX461" s="76">
        <f>AV461+AS461</f>
        <v>0</v>
      </c>
      <c r="AY461" s="184"/>
      <c r="AZ461" s="184"/>
      <c r="BA461" s="184"/>
      <c r="BB461" s="184"/>
      <c r="BC461" s="184"/>
      <c r="BD461" s="75">
        <f>AW461+AY461+AZ461+BA461+BB461+BC461</f>
        <v>679</v>
      </c>
      <c r="BE461" s="75">
        <f>AX461+BC461</f>
        <v>0</v>
      </c>
      <c r="BF461" s="185"/>
      <c r="BG461" s="185"/>
      <c r="BH461" s="185"/>
      <c r="BI461" s="75">
        <f>BD461+BF461+BG461+BH461</f>
        <v>679</v>
      </c>
      <c r="BJ461" s="75">
        <f>BE461+BH461</f>
        <v>0</v>
      </c>
      <c r="BK461" s="188"/>
      <c r="BL461" s="188"/>
      <c r="BM461" s="188"/>
      <c r="BN461" s="188"/>
      <c r="BO461" s="75">
        <f>BI461+BK461+BL461+BM461+BN461</f>
        <v>679</v>
      </c>
      <c r="BP461" s="75">
        <f>BJ461+BN461</f>
        <v>0</v>
      </c>
      <c r="BQ461" s="185"/>
      <c r="BR461" s="185"/>
      <c r="BS461" s="185"/>
      <c r="BT461" s="185"/>
      <c r="BU461" s="75">
        <f>BO461+BQ461+BS461+BT461</f>
        <v>679</v>
      </c>
      <c r="BV461" s="75">
        <f>BP461+BT461</f>
        <v>0</v>
      </c>
      <c r="BW461" s="75">
        <v>670</v>
      </c>
      <c r="BX461" s="75">
        <f>BR461+BV461</f>
        <v>0</v>
      </c>
      <c r="BY461" s="77">
        <f t="shared" si="540"/>
        <v>98.67452135493373</v>
      </c>
      <c r="BZ461" s="60"/>
    </row>
    <row r="462" spans="1:78" s="22" customFormat="1" ht="37.5" customHeight="1" hidden="1">
      <c r="A462" s="88" t="s">
        <v>121</v>
      </c>
      <c r="B462" s="89" t="s">
        <v>3</v>
      </c>
      <c r="C462" s="89" t="s">
        <v>151</v>
      </c>
      <c r="D462" s="90" t="s">
        <v>122</v>
      </c>
      <c r="E462" s="89"/>
      <c r="F462" s="91">
        <f>F463+F464+F465+F467</f>
        <v>53779</v>
      </c>
      <c r="G462" s="91">
        <f>G463+G464+G465+G467</f>
        <v>-10840</v>
      </c>
      <c r="H462" s="91">
        <f>H463+H464+H465+H467</f>
        <v>42939</v>
      </c>
      <c r="I462" s="91">
        <f aca="true" t="shared" si="608" ref="I462:AS462">I463+I464+I465+I467</f>
        <v>0</v>
      </c>
      <c r="J462" s="91">
        <f t="shared" si="608"/>
        <v>0</v>
      </c>
      <c r="K462" s="91">
        <f t="shared" si="608"/>
        <v>0</v>
      </c>
      <c r="L462" s="91">
        <f t="shared" si="608"/>
        <v>0</v>
      </c>
      <c r="M462" s="91">
        <f t="shared" si="608"/>
        <v>42939</v>
      </c>
      <c r="N462" s="91">
        <f t="shared" si="608"/>
        <v>0</v>
      </c>
      <c r="O462" s="91">
        <f t="shared" si="608"/>
        <v>0</v>
      </c>
      <c r="P462" s="91"/>
      <c r="Q462" s="91">
        <f t="shared" si="608"/>
        <v>0</v>
      </c>
      <c r="R462" s="91">
        <f t="shared" si="608"/>
        <v>0</v>
      </c>
      <c r="S462" s="91">
        <f t="shared" si="608"/>
        <v>42939</v>
      </c>
      <c r="T462" s="91">
        <f t="shared" si="608"/>
        <v>0</v>
      </c>
      <c r="U462" s="91">
        <f t="shared" si="608"/>
        <v>0</v>
      </c>
      <c r="V462" s="91">
        <f t="shared" si="608"/>
        <v>0</v>
      </c>
      <c r="W462" s="91">
        <f t="shared" si="608"/>
        <v>0</v>
      </c>
      <c r="X462" s="91">
        <f t="shared" si="608"/>
        <v>0</v>
      </c>
      <c r="Y462" s="91">
        <f t="shared" si="608"/>
        <v>0</v>
      </c>
      <c r="Z462" s="91">
        <f t="shared" si="608"/>
        <v>0</v>
      </c>
      <c r="AA462" s="91">
        <f t="shared" si="608"/>
        <v>0</v>
      </c>
      <c r="AB462" s="91">
        <f t="shared" si="608"/>
        <v>42939</v>
      </c>
      <c r="AC462" s="91">
        <f t="shared" si="608"/>
        <v>0</v>
      </c>
      <c r="AD462" s="91">
        <f t="shared" si="608"/>
        <v>0</v>
      </c>
      <c r="AE462" s="91">
        <f t="shared" si="608"/>
        <v>0</v>
      </c>
      <c r="AF462" s="91">
        <f t="shared" si="608"/>
        <v>-2841</v>
      </c>
      <c r="AG462" s="91">
        <f t="shared" si="608"/>
        <v>0</v>
      </c>
      <c r="AH462" s="91">
        <f t="shared" si="608"/>
        <v>0</v>
      </c>
      <c r="AI462" s="91">
        <f t="shared" si="608"/>
        <v>40098</v>
      </c>
      <c r="AJ462" s="91">
        <f t="shared" si="608"/>
        <v>0</v>
      </c>
      <c r="AK462" s="91">
        <f t="shared" si="608"/>
        <v>0</v>
      </c>
      <c r="AL462" s="91">
        <f t="shared" si="608"/>
        <v>40098</v>
      </c>
      <c r="AM462" s="91">
        <f t="shared" si="608"/>
        <v>0</v>
      </c>
      <c r="AN462" s="91">
        <f t="shared" si="608"/>
        <v>0</v>
      </c>
      <c r="AO462" s="91">
        <f t="shared" si="608"/>
        <v>0</v>
      </c>
      <c r="AP462" s="91">
        <f t="shared" si="608"/>
        <v>0</v>
      </c>
      <c r="AQ462" s="91">
        <f t="shared" si="608"/>
        <v>0</v>
      </c>
      <c r="AR462" s="91">
        <f t="shared" si="608"/>
        <v>40098</v>
      </c>
      <c r="AS462" s="91">
        <f t="shared" si="608"/>
        <v>0</v>
      </c>
      <c r="AT462" s="92">
        <f>AT463+AT464+AT465+AT467</f>
        <v>0</v>
      </c>
      <c r="AU462" s="92">
        <f>AU463+AU464+AU465+AU467</f>
        <v>0</v>
      </c>
      <c r="AV462" s="92">
        <f>AV463+AV464+AV465+AV467</f>
        <v>0</v>
      </c>
      <c r="AW462" s="92">
        <f>AW463+AW464+AW465+AW467</f>
        <v>40098</v>
      </c>
      <c r="AX462" s="92">
        <f aca="true" t="shared" si="609" ref="AX462:BV462">AX463+AX464+AX465+AX467</f>
        <v>0</v>
      </c>
      <c r="AY462" s="91">
        <f t="shared" si="609"/>
        <v>-4970</v>
      </c>
      <c r="AZ462" s="91">
        <f t="shared" si="609"/>
        <v>0</v>
      </c>
      <c r="BA462" s="91">
        <f t="shared" si="609"/>
        <v>0</v>
      </c>
      <c r="BB462" s="91">
        <f t="shared" si="609"/>
        <v>0</v>
      </c>
      <c r="BC462" s="91">
        <f t="shared" si="609"/>
        <v>0</v>
      </c>
      <c r="BD462" s="91">
        <f t="shared" si="609"/>
        <v>35128</v>
      </c>
      <c r="BE462" s="91">
        <f t="shared" si="609"/>
        <v>0</v>
      </c>
      <c r="BF462" s="91">
        <f t="shared" si="609"/>
        <v>8</v>
      </c>
      <c r="BG462" s="91">
        <f t="shared" si="609"/>
        <v>0</v>
      </c>
      <c r="BH462" s="91">
        <f t="shared" si="609"/>
        <v>0</v>
      </c>
      <c r="BI462" s="91">
        <f t="shared" si="609"/>
        <v>35136</v>
      </c>
      <c r="BJ462" s="91">
        <f t="shared" si="609"/>
        <v>0</v>
      </c>
      <c r="BK462" s="91">
        <f t="shared" si="609"/>
        <v>0</v>
      </c>
      <c r="BL462" s="91">
        <f t="shared" si="609"/>
        <v>0</v>
      </c>
      <c r="BM462" s="91">
        <f t="shared" si="609"/>
        <v>0</v>
      </c>
      <c r="BN462" s="91">
        <f t="shared" si="609"/>
        <v>0</v>
      </c>
      <c r="BO462" s="91">
        <f t="shared" si="609"/>
        <v>35136</v>
      </c>
      <c r="BP462" s="91">
        <f t="shared" si="609"/>
        <v>0</v>
      </c>
      <c r="BQ462" s="91">
        <f t="shared" si="609"/>
        <v>0</v>
      </c>
      <c r="BR462" s="91"/>
      <c r="BS462" s="91">
        <f t="shared" si="609"/>
        <v>-2000</v>
      </c>
      <c r="BT462" s="91">
        <f t="shared" si="609"/>
        <v>0</v>
      </c>
      <c r="BU462" s="91">
        <f t="shared" si="609"/>
        <v>33136</v>
      </c>
      <c r="BV462" s="91">
        <f t="shared" si="609"/>
        <v>0</v>
      </c>
      <c r="BW462" s="91">
        <f>BW463+BW464+BW465+BW467</f>
        <v>28346</v>
      </c>
      <c r="BX462" s="91">
        <f>BX463+BX464+BX465+BX467</f>
        <v>0</v>
      </c>
      <c r="BY462" s="77">
        <f t="shared" si="540"/>
        <v>85.54442298406568</v>
      </c>
      <c r="BZ462" s="60"/>
    </row>
    <row r="463" spans="1:78" s="22" customFormat="1" ht="72.75" customHeight="1" hidden="1">
      <c r="A463" s="88" t="s">
        <v>138</v>
      </c>
      <c r="B463" s="89" t="s">
        <v>3</v>
      </c>
      <c r="C463" s="89" t="s">
        <v>151</v>
      </c>
      <c r="D463" s="90" t="s">
        <v>122</v>
      </c>
      <c r="E463" s="89" t="s">
        <v>139</v>
      </c>
      <c r="F463" s="75">
        <v>50471</v>
      </c>
      <c r="G463" s="75">
        <f>H463-F463</f>
        <v>-10622</v>
      </c>
      <c r="H463" s="75">
        <f>1363+287+209+39729+673+363-783+284+44+180-2500</f>
        <v>39849</v>
      </c>
      <c r="I463" s="184"/>
      <c r="J463" s="184"/>
      <c r="K463" s="184"/>
      <c r="L463" s="184"/>
      <c r="M463" s="75">
        <f>H463+J463+K463+L463</f>
        <v>39849</v>
      </c>
      <c r="N463" s="78">
        <f>I463+L463</f>
        <v>0</v>
      </c>
      <c r="O463" s="184"/>
      <c r="P463" s="184"/>
      <c r="Q463" s="185"/>
      <c r="R463" s="185"/>
      <c r="S463" s="75">
        <f>M463+O463+P463+Q463+R463</f>
        <v>39849</v>
      </c>
      <c r="T463" s="75">
        <f>N463+R463</f>
        <v>0</v>
      </c>
      <c r="U463" s="185"/>
      <c r="V463" s="185"/>
      <c r="W463" s="185"/>
      <c r="X463" s="75"/>
      <c r="Y463" s="185"/>
      <c r="Z463" s="185"/>
      <c r="AA463" s="185"/>
      <c r="AB463" s="75">
        <f>S463+U463+V463+W463+X463+Y463+Z463+AA463</f>
        <v>39849</v>
      </c>
      <c r="AC463" s="75">
        <f>T463+Z463+AA463</f>
        <v>0</v>
      </c>
      <c r="AD463" s="184"/>
      <c r="AE463" s="184"/>
      <c r="AF463" s="75">
        <f>-68-742-5241+3210</f>
        <v>-2841</v>
      </c>
      <c r="AG463" s="184"/>
      <c r="AH463" s="184"/>
      <c r="AI463" s="75">
        <f>AB463+AD463+AE463+AF463+AG463+AH463</f>
        <v>37008</v>
      </c>
      <c r="AJ463" s="75">
        <f>AC463+AH463</f>
        <v>0</v>
      </c>
      <c r="AK463" s="185"/>
      <c r="AL463" s="75">
        <f>AI463+AK463</f>
        <v>37008</v>
      </c>
      <c r="AM463" s="75">
        <f>AJ463</f>
        <v>0</v>
      </c>
      <c r="AN463" s="185"/>
      <c r="AO463" s="185"/>
      <c r="AP463" s="185"/>
      <c r="AQ463" s="185"/>
      <c r="AR463" s="75">
        <f>AL463+AN463+AO463+AP463+AQ463</f>
        <v>37008</v>
      </c>
      <c r="AS463" s="75">
        <f>AM463+AQ463</f>
        <v>0</v>
      </c>
      <c r="AT463" s="186"/>
      <c r="AU463" s="81"/>
      <c r="AV463" s="186"/>
      <c r="AW463" s="76">
        <f>AV463+AU463+AT463+AR463</f>
        <v>37008</v>
      </c>
      <c r="AX463" s="76">
        <f>AV463+AS463</f>
        <v>0</v>
      </c>
      <c r="AY463" s="75">
        <f>-353-4502-115</f>
        <v>-4970</v>
      </c>
      <c r="AZ463" s="184"/>
      <c r="BA463" s="184"/>
      <c r="BB463" s="184"/>
      <c r="BC463" s="184"/>
      <c r="BD463" s="75">
        <f>AW463+AY463+AZ463+BA463+BB463+BC463</f>
        <v>32038</v>
      </c>
      <c r="BE463" s="75">
        <f>AX463+BC463</f>
        <v>0</v>
      </c>
      <c r="BF463" s="78">
        <v>8</v>
      </c>
      <c r="BG463" s="185"/>
      <c r="BH463" s="185"/>
      <c r="BI463" s="75">
        <f>BD463+BF463+BG463+BH463</f>
        <v>32046</v>
      </c>
      <c r="BJ463" s="75">
        <f>BE463+BH463</f>
        <v>0</v>
      </c>
      <c r="BK463" s="188"/>
      <c r="BL463" s="188"/>
      <c r="BM463" s="188"/>
      <c r="BN463" s="188"/>
      <c r="BO463" s="75">
        <f>BI463+BK463+BL463+BM463+BN463</f>
        <v>32046</v>
      </c>
      <c r="BP463" s="75">
        <f>BJ463+BN463</f>
        <v>0</v>
      </c>
      <c r="BQ463" s="75"/>
      <c r="BR463" s="75"/>
      <c r="BS463" s="75">
        <v>-2000</v>
      </c>
      <c r="BT463" s="185"/>
      <c r="BU463" s="75">
        <f>BO463+BQ463+BS463+BT463</f>
        <v>30046</v>
      </c>
      <c r="BV463" s="75">
        <f>BP463+BT463</f>
        <v>0</v>
      </c>
      <c r="BW463" s="75">
        <v>25296</v>
      </c>
      <c r="BX463" s="75">
        <f>BR463+BV463</f>
        <v>0</v>
      </c>
      <c r="BY463" s="77">
        <f t="shared" si="540"/>
        <v>84.19090727551088</v>
      </c>
      <c r="BZ463" s="60"/>
    </row>
    <row r="464" spans="1:78" s="22" customFormat="1" ht="21.75" customHeight="1" hidden="1">
      <c r="A464" s="88" t="s">
        <v>11</v>
      </c>
      <c r="B464" s="89" t="s">
        <v>3</v>
      </c>
      <c r="C464" s="89" t="s">
        <v>151</v>
      </c>
      <c r="D464" s="90" t="s">
        <v>122</v>
      </c>
      <c r="E464" s="89" t="s">
        <v>18</v>
      </c>
      <c r="F464" s="75"/>
      <c r="G464" s="75">
        <f>H464-F464</f>
        <v>90</v>
      </c>
      <c r="H464" s="75">
        <v>90</v>
      </c>
      <c r="I464" s="184"/>
      <c r="J464" s="184"/>
      <c r="K464" s="184"/>
      <c r="L464" s="184"/>
      <c r="M464" s="75">
        <f>H464+J464+K464+L464</f>
        <v>90</v>
      </c>
      <c r="N464" s="78">
        <f>I464+L464</f>
        <v>0</v>
      </c>
      <c r="O464" s="184"/>
      <c r="P464" s="184"/>
      <c r="Q464" s="185"/>
      <c r="R464" s="185"/>
      <c r="S464" s="75">
        <f>M464+O464+P464+Q464+R464</f>
        <v>90</v>
      </c>
      <c r="T464" s="75">
        <f>N464+R464</f>
        <v>0</v>
      </c>
      <c r="U464" s="185"/>
      <c r="V464" s="185"/>
      <c r="W464" s="185"/>
      <c r="X464" s="185"/>
      <c r="Y464" s="185"/>
      <c r="Z464" s="185"/>
      <c r="AA464" s="185"/>
      <c r="AB464" s="75">
        <f>S464+U464+V464+W464+X464+Y464+Z464+AA464</f>
        <v>90</v>
      </c>
      <c r="AC464" s="75">
        <f>T464+Z464+AA464</f>
        <v>0</v>
      </c>
      <c r="AD464" s="184"/>
      <c r="AE464" s="184"/>
      <c r="AF464" s="184"/>
      <c r="AG464" s="184"/>
      <c r="AH464" s="184"/>
      <c r="AI464" s="75">
        <f>AB464+AD464+AE464+AF464+AG464+AH464</f>
        <v>90</v>
      </c>
      <c r="AJ464" s="75">
        <f>AC464+AH464</f>
        <v>0</v>
      </c>
      <c r="AK464" s="185"/>
      <c r="AL464" s="75">
        <f>AI464+AK464</f>
        <v>90</v>
      </c>
      <c r="AM464" s="75">
        <f>AJ464</f>
        <v>0</v>
      </c>
      <c r="AN464" s="185"/>
      <c r="AO464" s="185"/>
      <c r="AP464" s="185"/>
      <c r="AQ464" s="185"/>
      <c r="AR464" s="75">
        <f>AL464+AN464+AO464+AP464+AQ464</f>
        <v>90</v>
      </c>
      <c r="AS464" s="75">
        <f>AM464+AQ464</f>
        <v>0</v>
      </c>
      <c r="AT464" s="186"/>
      <c r="AU464" s="186"/>
      <c r="AV464" s="186"/>
      <c r="AW464" s="76">
        <f>AV464+AU464+AT464+AR464</f>
        <v>90</v>
      </c>
      <c r="AX464" s="76">
        <f>AV464+AS464</f>
        <v>0</v>
      </c>
      <c r="AY464" s="184"/>
      <c r="AZ464" s="184"/>
      <c r="BA464" s="184"/>
      <c r="BB464" s="184"/>
      <c r="BC464" s="184"/>
      <c r="BD464" s="75">
        <f>AW464+AY464+AZ464+BA464+BB464+BC464</f>
        <v>90</v>
      </c>
      <c r="BE464" s="75">
        <f>AX464+BC464</f>
        <v>0</v>
      </c>
      <c r="BF464" s="185"/>
      <c r="BG464" s="185"/>
      <c r="BH464" s="185"/>
      <c r="BI464" s="75">
        <f>BD464+BF464+BG464+BH464</f>
        <v>90</v>
      </c>
      <c r="BJ464" s="75">
        <f>BE464+BH464</f>
        <v>0</v>
      </c>
      <c r="BK464" s="188"/>
      <c r="BL464" s="188"/>
      <c r="BM464" s="188"/>
      <c r="BN464" s="188"/>
      <c r="BO464" s="75">
        <f>BI464+BK464+BL464+BM464+BN464</f>
        <v>90</v>
      </c>
      <c r="BP464" s="75">
        <f>BJ464+BN464</f>
        <v>0</v>
      </c>
      <c r="BQ464" s="185"/>
      <c r="BR464" s="185"/>
      <c r="BS464" s="185"/>
      <c r="BT464" s="185"/>
      <c r="BU464" s="75">
        <f>BO464+BQ464+BS464+BT464</f>
        <v>90</v>
      </c>
      <c r="BV464" s="75">
        <f>BP464+BT464</f>
        <v>0</v>
      </c>
      <c r="BW464" s="75">
        <v>90</v>
      </c>
      <c r="BX464" s="75">
        <f>BR464+BV464</f>
        <v>0</v>
      </c>
      <c r="BY464" s="77">
        <f t="shared" si="540"/>
        <v>100</v>
      </c>
      <c r="BZ464" s="60"/>
    </row>
    <row r="465" spans="1:78" s="22" customFormat="1" ht="56.25" customHeight="1" hidden="1">
      <c r="A465" s="88" t="s">
        <v>362</v>
      </c>
      <c r="B465" s="89" t="s">
        <v>3</v>
      </c>
      <c r="C465" s="89" t="s">
        <v>151</v>
      </c>
      <c r="D465" s="90" t="s">
        <v>187</v>
      </c>
      <c r="E465" s="89"/>
      <c r="F465" s="91">
        <f>F466</f>
        <v>1500</v>
      </c>
      <c r="G465" s="91">
        <f>G466</f>
        <v>0</v>
      </c>
      <c r="H465" s="91">
        <f>H466</f>
        <v>1500</v>
      </c>
      <c r="I465" s="91">
        <f aca="true" t="shared" si="610" ref="I465:BW465">I466</f>
        <v>0</v>
      </c>
      <c r="J465" s="91">
        <f t="shared" si="610"/>
        <v>0</v>
      </c>
      <c r="K465" s="91">
        <f t="shared" si="610"/>
        <v>0</v>
      </c>
      <c r="L465" s="91">
        <f t="shared" si="610"/>
        <v>0</v>
      </c>
      <c r="M465" s="91">
        <f t="shared" si="610"/>
        <v>1500</v>
      </c>
      <c r="N465" s="91">
        <f t="shared" si="610"/>
        <v>0</v>
      </c>
      <c r="O465" s="91">
        <f t="shared" si="610"/>
        <v>0</v>
      </c>
      <c r="P465" s="91"/>
      <c r="Q465" s="91">
        <f t="shared" si="610"/>
        <v>0</v>
      </c>
      <c r="R465" s="91">
        <f t="shared" si="610"/>
        <v>0</v>
      </c>
      <c r="S465" s="91">
        <f t="shared" si="610"/>
        <v>1500</v>
      </c>
      <c r="T465" s="91">
        <f t="shared" si="610"/>
        <v>0</v>
      </c>
      <c r="U465" s="91">
        <f t="shared" si="610"/>
        <v>0</v>
      </c>
      <c r="V465" s="91">
        <f t="shared" si="610"/>
        <v>0</v>
      </c>
      <c r="W465" s="91">
        <f t="shared" si="610"/>
        <v>0</v>
      </c>
      <c r="X465" s="91">
        <f t="shared" si="610"/>
        <v>0</v>
      </c>
      <c r="Y465" s="91">
        <f t="shared" si="610"/>
        <v>0</v>
      </c>
      <c r="Z465" s="91">
        <f t="shared" si="610"/>
        <v>0</v>
      </c>
      <c r="AA465" s="91">
        <f t="shared" si="610"/>
        <v>0</v>
      </c>
      <c r="AB465" s="91">
        <f t="shared" si="610"/>
        <v>1500</v>
      </c>
      <c r="AC465" s="91">
        <f t="shared" si="610"/>
        <v>0</v>
      </c>
      <c r="AD465" s="91">
        <f t="shared" si="610"/>
        <v>0</v>
      </c>
      <c r="AE465" s="91">
        <f t="shared" si="610"/>
        <v>0</v>
      </c>
      <c r="AF465" s="91">
        <f t="shared" si="610"/>
        <v>0</v>
      </c>
      <c r="AG465" s="91">
        <f t="shared" si="610"/>
        <v>0</v>
      </c>
      <c r="AH465" s="91">
        <f t="shared" si="610"/>
        <v>0</v>
      </c>
      <c r="AI465" s="91">
        <f t="shared" si="610"/>
        <v>1500</v>
      </c>
      <c r="AJ465" s="91">
        <f t="shared" si="610"/>
        <v>0</v>
      </c>
      <c r="AK465" s="91">
        <f t="shared" si="610"/>
        <v>0</v>
      </c>
      <c r="AL465" s="91">
        <f t="shared" si="610"/>
        <v>1500</v>
      </c>
      <c r="AM465" s="91">
        <f t="shared" si="610"/>
        <v>0</v>
      </c>
      <c r="AN465" s="91">
        <f t="shared" si="610"/>
        <v>0</v>
      </c>
      <c r="AO465" s="91">
        <f t="shared" si="610"/>
        <v>0</v>
      </c>
      <c r="AP465" s="91">
        <f t="shared" si="610"/>
        <v>0</v>
      </c>
      <c r="AQ465" s="91">
        <f t="shared" si="610"/>
        <v>0</v>
      </c>
      <c r="AR465" s="91">
        <f t="shared" si="610"/>
        <v>1500</v>
      </c>
      <c r="AS465" s="91">
        <f t="shared" si="610"/>
        <v>0</v>
      </c>
      <c r="AT465" s="92">
        <f t="shared" si="610"/>
        <v>0</v>
      </c>
      <c r="AU465" s="92">
        <f t="shared" si="610"/>
        <v>0</v>
      </c>
      <c r="AV465" s="92">
        <f t="shared" si="610"/>
        <v>0</v>
      </c>
      <c r="AW465" s="92">
        <f t="shared" si="610"/>
        <v>1500</v>
      </c>
      <c r="AX465" s="92">
        <f t="shared" si="610"/>
        <v>0</v>
      </c>
      <c r="AY465" s="91">
        <f t="shared" si="610"/>
        <v>0</v>
      </c>
      <c r="AZ465" s="91">
        <f t="shared" si="610"/>
        <v>0</v>
      </c>
      <c r="BA465" s="91">
        <f t="shared" si="610"/>
        <v>0</v>
      </c>
      <c r="BB465" s="91">
        <f t="shared" si="610"/>
        <v>0</v>
      </c>
      <c r="BC465" s="91">
        <f t="shared" si="610"/>
        <v>0</v>
      </c>
      <c r="BD465" s="91">
        <f t="shared" si="610"/>
        <v>1500</v>
      </c>
      <c r="BE465" s="91">
        <f t="shared" si="610"/>
        <v>0</v>
      </c>
      <c r="BF465" s="91">
        <f t="shared" si="610"/>
        <v>0</v>
      </c>
      <c r="BG465" s="91">
        <f t="shared" si="610"/>
        <v>0</v>
      </c>
      <c r="BH465" s="91">
        <f t="shared" si="610"/>
        <v>0</v>
      </c>
      <c r="BI465" s="91">
        <f t="shared" si="610"/>
        <v>1500</v>
      </c>
      <c r="BJ465" s="91">
        <f t="shared" si="610"/>
        <v>0</v>
      </c>
      <c r="BK465" s="91">
        <f t="shared" si="610"/>
        <v>0</v>
      </c>
      <c r="BL465" s="91">
        <f t="shared" si="610"/>
        <v>0</v>
      </c>
      <c r="BM465" s="91">
        <f t="shared" si="610"/>
        <v>0</v>
      </c>
      <c r="BN465" s="91">
        <f t="shared" si="610"/>
        <v>0</v>
      </c>
      <c r="BO465" s="91">
        <f t="shared" si="610"/>
        <v>1500</v>
      </c>
      <c r="BP465" s="91">
        <f t="shared" si="610"/>
        <v>0</v>
      </c>
      <c r="BQ465" s="91">
        <f t="shared" si="610"/>
        <v>0</v>
      </c>
      <c r="BR465" s="91"/>
      <c r="BS465" s="91">
        <f t="shared" si="610"/>
        <v>0</v>
      </c>
      <c r="BT465" s="91">
        <f t="shared" si="610"/>
        <v>0</v>
      </c>
      <c r="BU465" s="91">
        <f t="shared" si="610"/>
        <v>1500</v>
      </c>
      <c r="BV465" s="91">
        <f>BV466</f>
        <v>0</v>
      </c>
      <c r="BW465" s="91">
        <f t="shared" si="610"/>
        <v>1500</v>
      </c>
      <c r="BX465" s="91">
        <f>BX466</f>
        <v>0</v>
      </c>
      <c r="BY465" s="77">
        <f t="shared" si="540"/>
        <v>100</v>
      </c>
      <c r="BZ465" s="60"/>
    </row>
    <row r="466" spans="1:78" s="22" customFormat="1" ht="84.75" customHeight="1" hidden="1">
      <c r="A466" s="88" t="s">
        <v>359</v>
      </c>
      <c r="B466" s="89" t="s">
        <v>3</v>
      </c>
      <c r="C466" s="89" t="s">
        <v>151</v>
      </c>
      <c r="D466" s="90" t="s">
        <v>187</v>
      </c>
      <c r="E466" s="89" t="s">
        <v>145</v>
      </c>
      <c r="F466" s="75">
        <v>1500</v>
      </c>
      <c r="G466" s="75">
        <f>H466-F466</f>
        <v>0</v>
      </c>
      <c r="H466" s="75">
        <v>1500</v>
      </c>
      <c r="I466" s="184"/>
      <c r="J466" s="184"/>
      <c r="K466" s="184"/>
      <c r="L466" s="184"/>
      <c r="M466" s="75">
        <f>H466+J466+K466+L466</f>
        <v>1500</v>
      </c>
      <c r="N466" s="78">
        <f>I466+L466</f>
        <v>0</v>
      </c>
      <c r="O466" s="184"/>
      <c r="P466" s="184"/>
      <c r="Q466" s="185"/>
      <c r="R466" s="185"/>
      <c r="S466" s="75">
        <f>M466+O466+P466+Q466+R466</f>
        <v>1500</v>
      </c>
      <c r="T466" s="75">
        <f>N466+R466</f>
        <v>0</v>
      </c>
      <c r="U466" s="185"/>
      <c r="V466" s="185"/>
      <c r="W466" s="185"/>
      <c r="X466" s="185"/>
      <c r="Y466" s="185"/>
      <c r="Z466" s="185"/>
      <c r="AA466" s="185"/>
      <c r="AB466" s="75">
        <f>S466+U466+V466+W466+X466+Y466+Z466+AA466</f>
        <v>1500</v>
      </c>
      <c r="AC466" s="75">
        <f>T466+Z466+AA466</f>
        <v>0</v>
      </c>
      <c r="AD466" s="184"/>
      <c r="AE466" s="184"/>
      <c r="AF466" s="184"/>
      <c r="AG466" s="184"/>
      <c r="AH466" s="184"/>
      <c r="AI466" s="75">
        <f>AB466+AD466+AE466+AF466+AG466+AH466</f>
        <v>1500</v>
      </c>
      <c r="AJ466" s="75">
        <f>AC466+AH466</f>
        <v>0</v>
      </c>
      <c r="AK466" s="185"/>
      <c r="AL466" s="75">
        <f>AI466+AK466</f>
        <v>1500</v>
      </c>
      <c r="AM466" s="75">
        <f>AJ466</f>
        <v>0</v>
      </c>
      <c r="AN466" s="185"/>
      <c r="AO466" s="185"/>
      <c r="AP466" s="185"/>
      <c r="AQ466" s="185"/>
      <c r="AR466" s="75">
        <f>AL466+AN466+AO466+AP466+AQ466</f>
        <v>1500</v>
      </c>
      <c r="AS466" s="75">
        <f>AM466+AQ466</f>
        <v>0</v>
      </c>
      <c r="AT466" s="186"/>
      <c r="AU466" s="186"/>
      <c r="AV466" s="186"/>
      <c r="AW466" s="76">
        <f>AV466+AU466+AT466+AR466</f>
        <v>1500</v>
      </c>
      <c r="AX466" s="76">
        <f>AV466+AS466</f>
        <v>0</v>
      </c>
      <c r="AY466" s="184"/>
      <c r="AZ466" s="184"/>
      <c r="BA466" s="184"/>
      <c r="BB466" s="184"/>
      <c r="BC466" s="184"/>
      <c r="BD466" s="75">
        <f>AW466+AY466+AZ466+BA466+BB466+BC466</f>
        <v>1500</v>
      </c>
      <c r="BE466" s="75">
        <f>AX466+BC466</f>
        <v>0</v>
      </c>
      <c r="BF466" s="185"/>
      <c r="BG466" s="185"/>
      <c r="BH466" s="185"/>
      <c r="BI466" s="75">
        <f>BD466+BF466+BG466+BH466</f>
        <v>1500</v>
      </c>
      <c r="BJ466" s="75">
        <f>BE466+BH466</f>
        <v>0</v>
      </c>
      <c r="BK466" s="188"/>
      <c r="BL466" s="188"/>
      <c r="BM466" s="188"/>
      <c r="BN466" s="188"/>
      <c r="BO466" s="75">
        <f>BI466+BK466+BL466+BM466+BN466</f>
        <v>1500</v>
      </c>
      <c r="BP466" s="75">
        <f>BJ466+BN466</f>
        <v>0</v>
      </c>
      <c r="BQ466" s="185"/>
      <c r="BR466" s="185"/>
      <c r="BS466" s="185"/>
      <c r="BT466" s="185"/>
      <c r="BU466" s="75">
        <f>BO466+BQ466+BS466+BT466</f>
        <v>1500</v>
      </c>
      <c r="BV466" s="75">
        <f>BP466+BT466</f>
        <v>0</v>
      </c>
      <c r="BW466" s="75">
        <v>1500</v>
      </c>
      <c r="BX466" s="75">
        <f>BR466+BV466</f>
        <v>0</v>
      </c>
      <c r="BY466" s="77">
        <f t="shared" si="540"/>
        <v>100</v>
      </c>
      <c r="BZ466" s="60"/>
    </row>
    <row r="467" spans="1:78" s="22" customFormat="1" ht="106.5" customHeight="1" hidden="1">
      <c r="A467" s="88" t="s">
        <v>370</v>
      </c>
      <c r="B467" s="89" t="s">
        <v>3</v>
      </c>
      <c r="C467" s="89" t="s">
        <v>151</v>
      </c>
      <c r="D467" s="90" t="s">
        <v>188</v>
      </c>
      <c r="E467" s="89"/>
      <c r="F467" s="91">
        <f>F468</f>
        <v>1808</v>
      </c>
      <c r="G467" s="91">
        <f>G468</f>
        <v>-308</v>
      </c>
      <c r="H467" s="91">
        <f>H468</f>
        <v>1500</v>
      </c>
      <c r="I467" s="91">
        <f aca="true" t="shared" si="611" ref="I467:BW467">I468</f>
        <v>0</v>
      </c>
      <c r="J467" s="91">
        <f t="shared" si="611"/>
        <v>0</v>
      </c>
      <c r="K467" s="91">
        <f t="shared" si="611"/>
        <v>0</v>
      </c>
      <c r="L467" s="91">
        <f t="shared" si="611"/>
        <v>0</v>
      </c>
      <c r="M467" s="91">
        <f t="shared" si="611"/>
        <v>1500</v>
      </c>
      <c r="N467" s="91">
        <f t="shared" si="611"/>
        <v>0</v>
      </c>
      <c r="O467" s="91">
        <f t="shared" si="611"/>
        <v>0</v>
      </c>
      <c r="P467" s="91"/>
      <c r="Q467" s="91">
        <f t="shared" si="611"/>
        <v>0</v>
      </c>
      <c r="R467" s="91">
        <f t="shared" si="611"/>
        <v>0</v>
      </c>
      <c r="S467" s="91">
        <f t="shared" si="611"/>
        <v>1500</v>
      </c>
      <c r="T467" s="91">
        <f t="shared" si="611"/>
        <v>0</v>
      </c>
      <c r="U467" s="91">
        <f t="shared" si="611"/>
        <v>0</v>
      </c>
      <c r="V467" s="91">
        <f t="shared" si="611"/>
        <v>0</v>
      </c>
      <c r="W467" s="91">
        <f t="shared" si="611"/>
        <v>0</v>
      </c>
      <c r="X467" s="91">
        <f t="shared" si="611"/>
        <v>0</v>
      </c>
      <c r="Y467" s="91">
        <f t="shared" si="611"/>
        <v>0</v>
      </c>
      <c r="Z467" s="91">
        <f t="shared" si="611"/>
        <v>0</v>
      </c>
      <c r="AA467" s="91">
        <f t="shared" si="611"/>
        <v>0</v>
      </c>
      <c r="AB467" s="91">
        <f t="shared" si="611"/>
        <v>1500</v>
      </c>
      <c r="AC467" s="91">
        <f t="shared" si="611"/>
        <v>0</v>
      </c>
      <c r="AD467" s="91">
        <f t="shared" si="611"/>
        <v>0</v>
      </c>
      <c r="AE467" s="91">
        <f t="shared" si="611"/>
        <v>0</v>
      </c>
      <c r="AF467" s="91">
        <f t="shared" si="611"/>
        <v>0</v>
      </c>
      <c r="AG467" s="91">
        <f t="shared" si="611"/>
        <v>0</v>
      </c>
      <c r="AH467" s="91">
        <f t="shared" si="611"/>
        <v>0</v>
      </c>
      <c r="AI467" s="91">
        <f t="shared" si="611"/>
        <v>1500</v>
      </c>
      <c r="AJ467" s="91">
        <f t="shared" si="611"/>
        <v>0</v>
      </c>
      <c r="AK467" s="91">
        <f t="shared" si="611"/>
        <v>0</v>
      </c>
      <c r="AL467" s="91">
        <f t="shared" si="611"/>
        <v>1500</v>
      </c>
      <c r="AM467" s="91">
        <f t="shared" si="611"/>
        <v>0</v>
      </c>
      <c r="AN467" s="91">
        <f t="shared" si="611"/>
        <v>0</v>
      </c>
      <c r="AO467" s="91">
        <f t="shared" si="611"/>
        <v>0</v>
      </c>
      <c r="AP467" s="91">
        <f t="shared" si="611"/>
        <v>0</v>
      </c>
      <c r="AQ467" s="91">
        <f t="shared" si="611"/>
        <v>0</v>
      </c>
      <c r="AR467" s="91">
        <f t="shared" si="611"/>
        <v>1500</v>
      </c>
      <c r="AS467" s="91">
        <f t="shared" si="611"/>
        <v>0</v>
      </c>
      <c r="AT467" s="92">
        <f t="shared" si="611"/>
        <v>0</v>
      </c>
      <c r="AU467" s="92">
        <f t="shared" si="611"/>
        <v>0</v>
      </c>
      <c r="AV467" s="92">
        <f t="shared" si="611"/>
        <v>0</v>
      </c>
      <c r="AW467" s="92">
        <f t="shared" si="611"/>
        <v>1500</v>
      </c>
      <c r="AX467" s="92">
        <f t="shared" si="611"/>
        <v>0</v>
      </c>
      <c r="AY467" s="91">
        <f t="shared" si="611"/>
        <v>0</v>
      </c>
      <c r="AZ467" s="91">
        <f t="shared" si="611"/>
        <v>0</v>
      </c>
      <c r="BA467" s="91">
        <f t="shared" si="611"/>
        <v>0</v>
      </c>
      <c r="BB467" s="91">
        <f t="shared" si="611"/>
        <v>0</v>
      </c>
      <c r="BC467" s="91">
        <f t="shared" si="611"/>
        <v>0</v>
      </c>
      <c r="BD467" s="91">
        <f t="shared" si="611"/>
        <v>1500</v>
      </c>
      <c r="BE467" s="91">
        <f t="shared" si="611"/>
        <v>0</v>
      </c>
      <c r="BF467" s="91">
        <f t="shared" si="611"/>
        <v>0</v>
      </c>
      <c r="BG467" s="91">
        <f t="shared" si="611"/>
        <v>0</v>
      </c>
      <c r="BH467" s="91">
        <f t="shared" si="611"/>
        <v>0</v>
      </c>
      <c r="BI467" s="91">
        <f t="shared" si="611"/>
        <v>1500</v>
      </c>
      <c r="BJ467" s="91">
        <f t="shared" si="611"/>
        <v>0</v>
      </c>
      <c r="BK467" s="91">
        <f t="shared" si="611"/>
        <v>0</v>
      </c>
      <c r="BL467" s="91">
        <f t="shared" si="611"/>
        <v>0</v>
      </c>
      <c r="BM467" s="91">
        <f t="shared" si="611"/>
        <v>0</v>
      </c>
      <c r="BN467" s="91">
        <f t="shared" si="611"/>
        <v>0</v>
      </c>
      <c r="BO467" s="91">
        <f t="shared" si="611"/>
        <v>1500</v>
      </c>
      <c r="BP467" s="91">
        <f t="shared" si="611"/>
        <v>0</v>
      </c>
      <c r="BQ467" s="91">
        <f t="shared" si="611"/>
        <v>0</v>
      </c>
      <c r="BR467" s="91"/>
      <c r="BS467" s="91">
        <f t="shared" si="611"/>
        <v>0</v>
      </c>
      <c r="BT467" s="91">
        <f t="shared" si="611"/>
        <v>0</v>
      </c>
      <c r="BU467" s="91">
        <f t="shared" si="611"/>
        <v>1500</v>
      </c>
      <c r="BV467" s="91">
        <f>BV468</f>
        <v>0</v>
      </c>
      <c r="BW467" s="91">
        <f t="shared" si="611"/>
        <v>1460</v>
      </c>
      <c r="BX467" s="91">
        <f>BX468</f>
        <v>0</v>
      </c>
      <c r="BY467" s="77">
        <f>BW467/BU467*100</f>
        <v>97.33333333333334</v>
      </c>
      <c r="BZ467" s="60"/>
    </row>
    <row r="468" spans="1:78" s="22" customFormat="1" ht="102" customHeight="1" hidden="1">
      <c r="A468" s="88" t="s">
        <v>359</v>
      </c>
      <c r="B468" s="89" t="s">
        <v>3</v>
      </c>
      <c r="C468" s="89" t="s">
        <v>151</v>
      </c>
      <c r="D468" s="90" t="s">
        <v>188</v>
      </c>
      <c r="E468" s="89" t="s">
        <v>145</v>
      </c>
      <c r="F468" s="75">
        <v>1808</v>
      </c>
      <c r="G468" s="75">
        <f>H468-F468</f>
        <v>-308</v>
      </c>
      <c r="H468" s="75">
        <v>1500</v>
      </c>
      <c r="I468" s="184"/>
      <c r="J468" s="184"/>
      <c r="K468" s="184"/>
      <c r="L468" s="184"/>
      <c r="M468" s="75">
        <f>H468+J468+K468+L468</f>
        <v>1500</v>
      </c>
      <c r="N468" s="78">
        <f>I468+L468</f>
        <v>0</v>
      </c>
      <c r="O468" s="184"/>
      <c r="P468" s="184"/>
      <c r="Q468" s="185"/>
      <c r="R468" s="185"/>
      <c r="S468" s="75">
        <f>M468+O468+P468+Q468+R468</f>
        <v>1500</v>
      </c>
      <c r="T468" s="75">
        <f>N468+R468</f>
        <v>0</v>
      </c>
      <c r="U468" s="185"/>
      <c r="V468" s="185"/>
      <c r="W468" s="185"/>
      <c r="X468" s="185"/>
      <c r="Y468" s="185"/>
      <c r="Z468" s="185"/>
      <c r="AA468" s="185"/>
      <c r="AB468" s="75">
        <f>S468+U468+V468+W468+X468+Y468+Z468+AA468</f>
        <v>1500</v>
      </c>
      <c r="AC468" s="75">
        <f>T468+Z468+AA468</f>
        <v>0</v>
      </c>
      <c r="AD468" s="184"/>
      <c r="AE468" s="184"/>
      <c r="AF468" s="184"/>
      <c r="AG468" s="184"/>
      <c r="AH468" s="184"/>
      <c r="AI468" s="75">
        <f>AB468+AD468+AE468+AF468+AG468+AH468</f>
        <v>1500</v>
      </c>
      <c r="AJ468" s="75">
        <f>AC468+AH468</f>
        <v>0</v>
      </c>
      <c r="AK468" s="185"/>
      <c r="AL468" s="75">
        <f>AI468+AK468</f>
        <v>1500</v>
      </c>
      <c r="AM468" s="75">
        <f>AJ468</f>
        <v>0</v>
      </c>
      <c r="AN468" s="185"/>
      <c r="AO468" s="185"/>
      <c r="AP468" s="185"/>
      <c r="AQ468" s="185"/>
      <c r="AR468" s="75">
        <f>AL468+AN468+AO468+AP468+AQ468</f>
        <v>1500</v>
      </c>
      <c r="AS468" s="75">
        <f>AM468+AQ468</f>
        <v>0</v>
      </c>
      <c r="AT468" s="186"/>
      <c r="AU468" s="186"/>
      <c r="AV468" s="186"/>
      <c r="AW468" s="76">
        <f>AV468+AU468+AT468+AR468</f>
        <v>1500</v>
      </c>
      <c r="AX468" s="76">
        <f>AV468+AS468</f>
        <v>0</v>
      </c>
      <c r="AY468" s="184"/>
      <c r="AZ468" s="184"/>
      <c r="BA468" s="184"/>
      <c r="BB468" s="184"/>
      <c r="BC468" s="184"/>
      <c r="BD468" s="75">
        <f>AW468+AY468+AZ468+BA468+BB468+BC468</f>
        <v>1500</v>
      </c>
      <c r="BE468" s="75">
        <f>AX468+BC468</f>
        <v>0</v>
      </c>
      <c r="BF468" s="185"/>
      <c r="BG468" s="185"/>
      <c r="BH468" s="185"/>
      <c r="BI468" s="75">
        <f>BD468+BF468+BG468+BH468</f>
        <v>1500</v>
      </c>
      <c r="BJ468" s="75">
        <f>BE468+BH468</f>
        <v>0</v>
      </c>
      <c r="BK468" s="188"/>
      <c r="BL468" s="188"/>
      <c r="BM468" s="188"/>
      <c r="BN468" s="188"/>
      <c r="BO468" s="75">
        <f>BI468+BK468+BL468+BM468+BN468</f>
        <v>1500</v>
      </c>
      <c r="BP468" s="75">
        <f>BJ468+BN468</f>
        <v>0</v>
      </c>
      <c r="BQ468" s="185"/>
      <c r="BR468" s="185"/>
      <c r="BS468" s="185"/>
      <c r="BT468" s="185"/>
      <c r="BU468" s="75">
        <f>BO468+BQ468+BS468+BT468</f>
        <v>1500</v>
      </c>
      <c r="BV468" s="75">
        <f>BP468+BT468</f>
        <v>0</v>
      </c>
      <c r="BW468" s="75">
        <v>1460</v>
      </c>
      <c r="BX468" s="75">
        <f>BR468+BV468</f>
        <v>0</v>
      </c>
      <c r="BY468" s="77">
        <f>BW468/BU468*100</f>
        <v>97.33333333333334</v>
      </c>
      <c r="BZ468" s="60"/>
    </row>
    <row r="469" spans="1:78" ht="13.5" customHeight="1">
      <c r="A469" s="47"/>
      <c r="B469" s="48"/>
      <c r="C469" s="48"/>
      <c r="D469" s="49"/>
      <c r="E469" s="48"/>
      <c r="F469" s="50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2"/>
      <c r="AE469" s="52"/>
      <c r="AF469" s="52"/>
      <c r="AG469" s="52"/>
      <c r="AH469" s="52"/>
      <c r="AI469" s="52"/>
      <c r="AJ469" s="52"/>
      <c r="AK469" s="51"/>
      <c r="AL469" s="51"/>
      <c r="AM469" s="51"/>
      <c r="AN469" s="51"/>
      <c r="AO469" s="51"/>
      <c r="AP469" s="51"/>
      <c r="AQ469" s="51"/>
      <c r="AR469" s="51"/>
      <c r="AS469" s="51"/>
      <c r="AT469" s="53"/>
      <c r="AU469" s="53"/>
      <c r="AV469" s="53"/>
      <c r="AW469" s="53"/>
      <c r="AX469" s="53"/>
      <c r="AY469" s="52"/>
      <c r="AZ469" s="52"/>
      <c r="BA469" s="52"/>
      <c r="BB469" s="52"/>
      <c r="BC469" s="52"/>
      <c r="BD469" s="54"/>
      <c r="BE469" s="54"/>
      <c r="BF469" s="51"/>
      <c r="BG469" s="51"/>
      <c r="BH469" s="51"/>
      <c r="BI469" s="51"/>
      <c r="BJ469" s="51"/>
      <c r="BK469" s="54"/>
      <c r="BL469" s="54"/>
      <c r="BM469" s="54"/>
      <c r="BN469" s="54"/>
      <c r="BO469" s="54"/>
      <c r="BP469" s="54"/>
      <c r="BQ469" s="51"/>
      <c r="BR469" s="51"/>
      <c r="BS469" s="51"/>
      <c r="BT469" s="51"/>
      <c r="BU469" s="51"/>
      <c r="BV469" s="51"/>
      <c r="BW469" s="51"/>
      <c r="BX469" s="51"/>
      <c r="BY469" s="60"/>
      <c r="BZ469" s="60"/>
    </row>
    <row r="470" spans="1:78" s="10" customFormat="1" ht="30" customHeight="1">
      <c r="A470" s="55" t="s">
        <v>118</v>
      </c>
      <c r="B470" s="56"/>
      <c r="C470" s="56"/>
      <c r="D470" s="57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189">
        <f>BI17+BI61+BI73+BI155+BI240+BI252+BI306+BI340+BI398</f>
        <v>7657148</v>
      </c>
      <c r="BJ470" s="189">
        <f aca="true" t="shared" si="612" ref="BJ470:BV470">BJ17+BJ61+BJ73+BJ155+BJ240+BJ252+BJ306+BJ340+BJ398</f>
        <v>1520969</v>
      </c>
      <c r="BK470" s="189">
        <f t="shared" si="612"/>
        <v>-47</v>
      </c>
      <c r="BL470" s="189">
        <f t="shared" si="612"/>
        <v>0</v>
      </c>
      <c r="BM470" s="189">
        <f t="shared" si="612"/>
        <v>47</v>
      </c>
      <c r="BN470" s="189">
        <f t="shared" si="612"/>
        <v>80592</v>
      </c>
      <c r="BO470" s="189">
        <f t="shared" si="612"/>
        <v>7737740</v>
      </c>
      <c r="BP470" s="189">
        <f t="shared" si="612"/>
        <v>1601561</v>
      </c>
      <c r="BQ470" s="189">
        <f t="shared" si="612"/>
        <v>-17265</v>
      </c>
      <c r="BR470" s="189">
        <f t="shared" si="612"/>
        <v>1080</v>
      </c>
      <c r="BS470" s="189">
        <f t="shared" si="612"/>
        <v>0</v>
      </c>
      <c r="BT470" s="189">
        <f t="shared" si="612"/>
        <v>163050</v>
      </c>
      <c r="BU470" s="189">
        <f t="shared" si="612"/>
        <v>7884605</v>
      </c>
      <c r="BV470" s="189">
        <f t="shared" si="612"/>
        <v>1764611</v>
      </c>
      <c r="BW470" s="189">
        <f>BW17+BW61+BW73+BW155+BW240+BW252+BW306+BW340+BW398</f>
        <v>7564141</v>
      </c>
      <c r="BX470" s="189">
        <f>BX17+BX61+BX73+BX155+BX240+BX252+BX306+BX340+BX398</f>
        <v>1653039</v>
      </c>
      <c r="BY470" s="60">
        <f>BW470/BU470*100</f>
        <v>95.93557318343785</v>
      </c>
      <c r="BZ470" s="60">
        <f>BX470/BV470*100</f>
        <v>93.67724671329829</v>
      </c>
    </row>
    <row r="471" ht="15">
      <c r="BD471" s="6">
        <f>BD470-BE470</f>
        <v>0</v>
      </c>
    </row>
    <row r="472" spans="1:78" ht="15.75" customHeight="1">
      <c r="A472" s="238" t="s">
        <v>400</v>
      </c>
      <c r="B472" s="238"/>
      <c r="C472" s="238"/>
      <c r="D472" s="238"/>
      <c r="E472" s="238"/>
      <c r="F472" s="238"/>
      <c r="G472" s="238"/>
      <c r="H472" s="238"/>
      <c r="I472" s="238"/>
      <c r="J472" s="238"/>
      <c r="K472" s="238"/>
      <c r="L472" s="238"/>
      <c r="M472" s="238"/>
      <c r="N472" s="238"/>
      <c r="O472" s="238"/>
      <c r="P472" s="238"/>
      <c r="Q472" s="238"/>
      <c r="R472" s="238"/>
      <c r="S472" s="238"/>
      <c r="T472" s="238"/>
      <c r="U472" s="238"/>
      <c r="V472" s="238"/>
      <c r="W472" s="238"/>
      <c r="X472" s="238"/>
      <c r="Y472" s="238"/>
      <c r="Z472" s="238"/>
      <c r="AA472" s="238"/>
      <c r="AB472" s="238"/>
      <c r="AC472" s="238"/>
      <c r="AD472" s="238"/>
      <c r="AE472" s="238"/>
      <c r="AF472" s="238"/>
      <c r="AG472" s="238"/>
      <c r="AH472" s="238"/>
      <c r="AI472" s="238"/>
      <c r="AJ472" s="238"/>
      <c r="AK472" s="238"/>
      <c r="AL472" s="238"/>
      <c r="AM472" s="238"/>
      <c r="AN472" s="238"/>
      <c r="AO472" s="238"/>
      <c r="AP472" s="238"/>
      <c r="AQ472" s="238"/>
      <c r="AR472" s="238"/>
      <c r="AS472" s="238"/>
      <c r="AT472" s="238"/>
      <c r="AU472" s="238"/>
      <c r="AV472" s="238"/>
      <c r="AW472" s="238"/>
      <c r="AX472" s="238"/>
      <c r="AY472" s="238"/>
      <c r="AZ472" s="238"/>
      <c r="BA472" s="238"/>
      <c r="BB472" s="238"/>
      <c r="BC472" s="238"/>
      <c r="BD472" s="238"/>
      <c r="BE472" s="238"/>
      <c r="BF472" s="238"/>
      <c r="BG472" s="238"/>
      <c r="BH472" s="238"/>
      <c r="BI472" s="238"/>
      <c r="BJ472" s="238"/>
      <c r="BK472" s="238"/>
      <c r="BL472" s="238"/>
      <c r="BM472" s="238"/>
      <c r="BN472" s="238"/>
      <c r="BO472" s="238"/>
      <c r="BP472" s="238"/>
      <c r="BQ472" s="238"/>
      <c r="BR472" s="238"/>
      <c r="BS472" s="238"/>
      <c r="BT472" s="238"/>
      <c r="BU472" s="238"/>
      <c r="BV472" s="238"/>
      <c r="BW472" s="238"/>
      <c r="BX472" s="238"/>
      <c r="BY472" s="238"/>
      <c r="BZ472" s="238"/>
    </row>
    <row r="474" spans="1:78" s="43" customFormat="1" ht="38.25" customHeight="1">
      <c r="A474" s="237" t="s">
        <v>401</v>
      </c>
      <c r="B474" s="237"/>
      <c r="C474" s="237"/>
      <c r="D474" s="237"/>
      <c r="E474" s="237"/>
      <c r="F474" s="237"/>
      <c r="G474" s="237"/>
      <c r="H474" s="237"/>
      <c r="I474" s="237"/>
      <c r="J474" s="237"/>
      <c r="K474" s="237"/>
      <c r="L474" s="237"/>
      <c r="M474" s="237"/>
      <c r="N474" s="237"/>
      <c r="O474" s="237"/>
      <c r="P474" s="237"/>
      <c r="Q474" s="237"/>
      <c r="R474" s="237"/>
      <c r="S474" s="237"/>
      <c r="T474" s="237"/>
      <c r="U474" s="237"/>
      <c r="V474" s="237"/>
      <c r="W474" s="237"/>
      <c r="X474" s="237"/>
      <c r="Y474" s="237"/>
      <c r="Z474" s="237"/>
      <c r="AA474" s="237"/>
      <c r="AB474" s="237"/>
      <c r="AC474" s="237"/>
      <c r="AD474" s="237"/>
      <c r="AE474" s="237"/>
      <c r="AF474" s="237"/>
      <c r="AG474" s="237"/>
      <c r="AH474" s="237"/>
      <c r="AI474" s="237"/>
      <c r="AJ474" s="237"/>
      <c r="AK474" s="237"/>
      <c r="AL474" s="237"/>
      <c r="AM474" s="237"/>
      <c r="AN474" s="237"/>
      <c r="AO474" s="237"/>
      <c r="AP474" s="237"/>
      <c r="AQ474" s="237"/>
      <c r="AR474" s="237"/>
      <c r="AS474" s="237"/>
      <c r="AT474" s="237"/>
      <c r="AU474" s="237"/>
      <c r="AV474" s="237"/>
      <c r="AW474" s="237"/>
      <c r="AX474" s="237"/>
      <c r="AY474" s="237"/>
      <c r="AZ474" s="237"/>
      <c r="BA474" s="237"/>
      <c r="BB474" s="237"/>
      <c r="BC474" s="237"/>
      <c r="BD474" s="237"/>
      <c r="BE474" s="237"/>
      <c r="BF474" s="237"/>
      <c r="BG474" s="237"/>
      <c r="BH474" s="237"/>
      <c r="BI474" s="237"/>
      <c r="BJ474" s="237"/>
      <c r="BK474" s="237"/>
      <c r="BL474" s="237"/>
      <c r="BM474" s="237"/>
      <c r="BN474" s="237"/>
      <c r="BO474" s="237"/>
      <c r="BP474" s="237"/>
      <c r="BQ474" s="237"/>
      <c r="BR474" s="237"/>
      <c r="BS474" s="237"/>
      <c r="BT474" s="237"/>
      <c r="BU474" s="237"/>
      <c r="BV474" s="237"/>
      <c r="BW474" s="237"/>
      <c r="BX474" s="237"/>
      <c r="BY474" s="237"/>
      <c r="BZ474" s="237"/>
    </row>
    <row r="475" spans="1:78" s="43" customFormat="1" ht="16.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</row>
    <row r="476" spans="1:78" s="43" customFormat="1" ht="17.2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</row>
    <row r="477" spans="2:5" ht="15">
      <c r="B477" s="23"/>
      <c r="C477" s="23"/>
      <c r="D477" s="24"/>
      <c r="E477" s="23"/>
    </row>
    <row r="478" spans="1:66" s="40" customFormat="1" ht="20.25">
      <c r="A478" s="41" t="s">
        <v>410</v>
      </c>
      <c r="B478" s="35"/>
      <c r="C478" s="35"/>
      <c r="D478" s="36"/>
      <c r="E478" s="35"/>
      <c r="F478" s="37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9"/>
      <c r="AU478" s="39"/>
      <c r="AV478" s="39"/>
      <c r="AW478" s="39"/>
      <c r="AX478" s="39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</row>
    <row r="479" spans="1:78" ht="20.25">
      <c r="A479" s="41" t="s">
        <v>402</v>
      </c>
      <c r="BY479" s="239" t="s">
        <v>411</v>
      </c>
      <c r="BZ479" s="239"/>
    </row>
  </sheetData>
  <mergeCells count="116">
    <mergeCell ref="A474:BZ474"/>
    <mergeCell ref="A472:BZ472"/>
    <mergeCell ref="BY479:BZ479"/>
    <mergeCell ref="A6:BZ8"/>
    <mergeCell ref="BW11:BX11"/>
    <mergeCell ref="BW12:BW15"/>
    <mergeCell ref="BX12:BX15"/>
    <mergeCell ref="BU11:BV11"/>
    <mergeCell ref="BU12:BU15"/>
    <mergeCell ref="BV12:BV15"/>
    <mergeCell ref="BK13:BK15"/>
    <mergeCell ref="BY11:BZ11"/>
    <mergeCell ref="BY12:BY15"/>
    <mergeCell ref="BZ12:BZ15"/>
    <mergeCell ref="BQ11:BT11"/>
    <mergeCell ref="BQ12:BS12"/>
    <mergeCell ref="BQ13:BQ15"/>
    <mergeCell ref="BS13:BS15"/>
    <mergeCell ref="BT12:BT15"/>
    <mergeCell ref="BR13:BR15"/>
    <mergeCell ref="F11:F15"/>
    <mergeCell ref="G11:I11"/>
    <mergeCell ref="K13:K15"/>
    <mergeCell ref="T12:T15"/>
    <mergeCell ref="O12:Q12"/>
    <mergeCell ref="O13:O15"/>
    <mergeCell ref="Q13:Q15"/>
    <mergeCell ref="R12:R15"/>
    <mergeCell ref="I12:I15"/>
    <mergeCell ref="S11:T11"/>
    <mergeCell ref="BF11:BH11"/>
    <mergeCell ref="BI11:BJ11"/>
    <mergeCell ref="AW11:AX11"/>
    <mergeCell ref="BD11:BE11"/>
    <mergeCell ref="AX12:AX15"/>
    <mergeCell ref="AY12:BA12"/>
    <mergeCell ref="AY13:AY15"/>
    <mergeCell ref="BO12:BO15"/>
    <mergeCell ref="BJ12:BJ15"/>
    <mergeCell ref="BF12:BG12"/>
    <mergeCell ref="BL13:BL15"/>
    <mergeCell ref="BM13:BM15"/>
    <mergeCell ref="BK12:BM12"/>
    <mergeCell ref="BN12:BN15"/>
    <mergeCell ref="J11:L11"/>
    <mergeCell ref="J13:J15"/>
    <mergeCell ref="L12:L15"/>
    <mergeCell ref="BO11:BP11"/>
    <mergeCell ref="AK12:AK15"/>
    <mergeCell ref="AI11:AJ11"/>
    <mergeCell ref="AN11:AQ11"/>
    <mergeCell ref="AQ12:AQ15"/>
    <mergeCell ref="BA13:BA15"/>
    <mergeCell ref="AW12:AW15"/>
    <mergeCell ref="M12:M15"/>
    <mergeCell ref="G12:G15"/>
    <mergeCell ref="H12:H15"/>
    <mergeCell ref="J12:K12"/>
    <mergeCell ref="S12:S15"/>
    <mergeCell ref="Z13:Z15"/>
    <mergeCell ref="O11:R11"/>
    <mergeCell ref="A11:A15"/>
    <mergeCell ref="B11:B15"/>
    <mergeCell ref="C11:C15"/>
    <mergeCell ref="D11:D15"/>
    <mergeCell ref="N12:N15"/>
    <mergeCell ref="P13:P15"/>
    <mergeCell ref="M11:N11"/>
    <mergeCell ref="U12:Y12"/>
    <mergeCell ref="Z12:AA12"/>
    <mergeCell ref="U13:U15"/>
    <mergeCell ref="AD12:AG12"/>
    <mergeCell ref="AB12:AB15"/>
    <mergeCell ref="AC12:AC15"/>
    <mergeCell ref="W13:W15"/>
    <mergeCell ref="Y13:Y15"/>
    <mergeCell ref="AD11:AH11"/>
    <mergeCell ref="AD13:AD15"/>
    <mergeCell ref="AE13:AE15"/>
    <mergeCell ref="AF13:AF15"/>
    <mergeCell ref="AG13:AG15"/>
    <mergeCell ref="AH12:AH15"/>
    <mergeCell ref="AZ13:AZ15"/>
    <mergeCell ref="AI12:AI15"/>
    <mergeCell ref="AJ12:AJ15"/>
    <mergeCell ref="AM12:AM15"/>
    <mergeCell ref="AU12:AU15"/>
    <mergeCell ref="AL12:AL15"/>
    <mergeCell ref="AP13:AP15"/>
    <mergeCell ref="AO13:AO15"/>
    <mergeCell ref="AN12:AP12"/>
    <mergeCell ref="AN13:AN15"/>
    <mergeCell ref="BE12:BE15"/>
    <mergeCell ref="BB12:BB15"/>
    <mergeCell ref="BF13:BF15"/>
    <mergeCell ref="BG13:BG15"/>
    <mergeCell ref="BP12:BP15"/>
    <mergeCell ref="BK11:BN11"/>
    <mergeCell ref="BD12:BD15"/>
    <mergeCell ref="AV12:AV15"/>
    <mergeCell ref="BC12:BC15"/>
    <mergeCell ref="AT11:AV11"/>
    <mergeCell ref="AT12:AT15"/>
    <mergeCell ref="BI12:BI15"/>
    <mergeCell ref="AY11:BC11"/>
    <mergeCell ref="BH12:BH15"/>
    <mergeCell ref="AR11:AS11"/>
    <mergeCell ref="AL11:AM11"/>
    <mergeCell ref="E11:E15"/>
    <mergeCell ref="U11:AA11"/>
    <mergeCell ref="V13:V15"/>
    <mergeCell ref="AA13:AA15"/>
    <mergeCell ref="X13:X15"/>
    <mergeCell ref="AR12:AR15"/>
    <mergeCell ref="AS12:AS15"/>
    <mergeCell ref="AB11:AC11"/>
  </mergeCells>
  <printOptions/>
  <pageMargins left="0.33" right="0.17" top="0.3937007874015748" bottom="0.2362204724409449" header="0.35433070866141736" footer="0.2362204724409449"/>
  <pageSetup horizontalDpi="600" verticalDpi="600" orientation="landscape" paperSize="9" scale="80" r:id="rId1"/>
  <rowBreaks count="5" manualBreakCount="5">
    <brk id="31" min="1" max="77" man="1"/>
    <brk id="102" min="1" max="77" man="1"/>
    <brk id="258" min="1" max="77" man="1"/>
    <brk id="339" min="1" max="77" man="1"/>
    <brk id="455" min="1" max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2010-06-04T05:30:04Z</cp:lastPrinted>
  <dcterms:created xsi:type="dcterms:W3CDTF">2007-01-25T06:11:58Z</dcterms:created>
  <dcterms:modified xsi:type="dcterms:W3CDTF">2010-06-04T05:30:33Z</dcterms:modified>
  <cp:category/>
  <cp:version/>
  <cp:contentType/>
  <cp:contentStatus/>
</cp:coreProperties>
</file>